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20730" windowHeight="9780" tabRatio="602" firstSheet="3" activeTab="3"/>
  </bookViews>
  <sheets>
    <sheet name="สรุปรวม 2 ส่วน" sheetId="4" state="hidden" r:id="rId1"/>
    <sheet name="แยกประเภท" sheetId="16" r:id="rId2"/>
    <sheet name="แยกประเภทส่วน 1" sheetId="13" state="hidden" r:id="rId3"/>
    <sheet name="ผลการพิจารณา ก.บ.ภ." sheetId="5" r:id="rId4"/>
    <sheet name="Checking_section 1" sheetId="10" state="hidden" r:id="rId5"/>
    <sheet name="แยกประเภทส่วน 2" sheetId="15" state="hidden" r:id="rId6"/>
    <sheet name="Checking_section 2" sheetId="12" state="hidden" r:id="rId7"/>
    <sheet name="Comments" sheetId="11" state="hidden" r:id="rId8"/>
  </sheets>
  <definedNames>
    <definedName name="_xlnm._FilterDatabase" localSheetId="3" hidden="1">'ผลการพิจารณา ก.บ.ภ.'!$A$3:$AO$3</definedName>
    <definedName name="_xlnm.Print_Area" localSheetId="3">'ผลการพิจารณา ก.บ.ภ.'!$A$1:$AO$66</definedName>
    <definedName name="_xlnm.Print_Area" localSheetId="0">'สรุปรวม 2 ส่วน'!$A$1:$J$28</definedName>
    <definedName name="_xlnm.Print_Titles" localSheetId="3">'ผลการพิจารณา ก.บ.ภ.'!$1:$3</definedName>
  </definedNames>
  <calcPr calcId="144525"/>
</workbook>
</file>

<file path=xl/calcChain.xml><?xml version="1.0" encoding="utf-8"?>
<calcChain xmlns="http://schemas.openxmlformats.org/spreadsheetml/2006/main">
  <c r="E60" i="5" l="1"/>
  <c r="F60" i="5"/>
  <c r="G60" i="5"/>
  <c r="D60" i="5"/>
  <c r="E55" i="5"/>
  <c r="F55" i="5"/>
  <c r="G55" i="5"/>
  <c r="D55" i="5"/>
  <c r="E50" i="5"/>
  <c r="F50" i="5"/>
  <c r="G50" i="5"/>
  <c r="D50" i="5"/>
  <c r="E46" i="5"/>
  <c r="F46" i="5"/>
  <c r="G46" i="5"/>
  <c r="D46" i="5"/>
  <c r="E43" i="5"/>
  <c r="F43" i="5"/>
  <c r="G43" i="5"/>
  <c r="D43" i="5"/>
  <c r="E40" i="5"/>
  <c r="F40" i="5"/>
  <c r="G40" i="5"/>
  <c r="D40" i="5"/>
  <c r="D36" i="5"/>
  <c r="E36" i="5"/>
  <c r="F36" i="5"/>
  <c r="G36" i="5"/>
  <c r="E33" i="5"/>
  <c r="F33" i="5"/>
  <c r="G33" i="5"/>
  <c r="D33" i="5"/>
  <c r="D32" i="5" s="1"/>
  <c r="E27" i="5"/>
  <c r="F27" i="5"/>
  <c r="G27" i="5"/>
  <c r="D27" i="5"/>
  <c r="E24" i="5"/>
  <c r="F24" i="5"/>
  <c r="G24" i="5"/>
  <c r="D24" i="5"/>
  <c r="E20" i="5" l="1"/>
  <c r="F20" i="5"/>
  <c r="G20" i="5"/>
  <c r="D20" i="5"/>
  <c r="E17" i="5"/>
  <c r="F17" i="5"/>
  <c r="G17" i="5"/>
  <c r="D17" i="5"/>
  <c r="E12" i="5"/>
  <c r="F12" i="5"/>
  <c r="G12" i="5"/>
  <c r="D12" i="5"/>
  <c r="D5" i="5"/>
  <c r="D4" i="5" s="1"/>
  <c r="G5" i="5"/>
  <c r="G4" i="5" s="1"/>
  <c r="F5" i="5"/>
  <c r="E5" i="5"/>
  <c r="E4" i="5" l="1"/>
  <c r="F4" i="5"/>
  <c r="H12" i="13"/>
  <c r="G5" i="13"/>
  <c r="G12" i="13"/>
  <c r="I12" i="13"/>
  <c r="I11" i="13"/>
  <c r="I10" i="13"/>
  <c r="I9" i="13"/>
  <c r="I8" i="13"/>
  <c r="I7" i="13"/>
  <c r="I6" i="13"/>
  <c r="I5" i="13"/>
  <c r="D12" i="13"/>
  <c r="C12" i="13"/>
  <c r="E5" i="13" l="1"/>
  <c r="E12" i="13"/>
  <c r="G13" i="16"/>
  <c r="H13" i="16"/>
  <c r="F12" i="15"/>
  <c r="F11" i="15"/>
  <c r="F10" i="15"/>
  <c r="F9" i="15"/>
  <c r="F8" i="15"/>
  <c r="F7" i="15"/>
  <c r="F6" i="15"/>
  <c r="F5" i="15"/>
  <c r="E12" i="15"/>
  <c r="D12" i="16" s="1"/>
  <c r="E11" i="15"/>
  <c r="E10" i="15"/>
  <c r="E9" i="15"/>
  <c r="E8" i="15"/>
  <c r="E7" i="15"/>
  <c r="E6" i="15"/>
  <c r="E5" i="15"/>
  <c r="D12" i="15"/>
  <c r="J12" i="15" s="1"/>
  <c r="D11" i="15"/>
  <c r="J11" i="15" s="1"/>
  <c r="D10" i="15"/>
  <c r="J10" i="15" s="1"/>
  <c r="D9" i="15"/>
  <c r="J9" i="15" s="1"/>
  <c r="D8" i="15"/>
  <c r="J8" i="15" s="1"/>
  <c r="D7" i="15"/>
  <c r="J7" i="15" s="1"/>
  <c r="D6" i="15"/>
  <c r="J6" i="15" s="1"/>
  <c r="D5" i="15"/>
  <c r="J5" i="15" s="1"/>
  <c r="G13" i="15"/>
  <c r="H13" i="15"/>
  <c r="C12" i="15"/>
  <c r="C11" i="15"/>
  <c r="C10" i="15"/>
  <c r="C9" i="15"/>
  <c r="C8" i="15"/>
  <c r="C7" i="15"/>
  <c r="C6" i="15"/>
  <c r="C5" i="15"/>
  <c r="J12" i="13"/>
  <c r="L12" i="13" s="1"/>
  <c r="J11" i="13"/>
  <c r="J10" i="13"/>
  <c r="J9" i="13"/>
  <c r="J8" i="13"/>
  <c r="J7" i="13"/>
  <c r="J6" i="13"/>
  <c r="J5" i="13"/>
  <c r="H11" i="13"/>
  <c r="H10" i="13"/>
  <c r="H9" i="13"/>
  <c r="H8" i="13"/>
  <c r="H7" i="13"/>
  <c r="H6" i="13"/>
  <c r="H5" i="13"/>
  <c r="G10" i="13"/>
  <c r="E10" i="13" s="1"/>
  <c r="G9" i="13"/>
  <c r="E9" i="13" s="1"/>
  <c r="G8" i="13"/>
  <c r="E8" i="13" s="1"/>
  <c r="G7" i="13"/>
  <c r="E7" i="13" s="1"/>
  <c r="G6" i="13"/>
  <c r="E6" i="13" s="1"/>
  <c r="G11" i="13"/>
  <c r="E11" i="13" s="1"/>
  <c r="D11" i="13"/>
  <c r="D10" i="13"/>
  <c r="D9" i="13"/>
  <c r="D8" i="13"/>
  <c r="D7" i="13"/>
  <c r="D6" i="13"/>
  <c r="D5" i="13"/>
  <c r="C5" i="13"/>
  <c r="K5" i="13" s="1"/>
  <c r="K12" i="13"/>
  <c r="C11" i="13"/>
  <c r="C10" i="13"/>
  <c r="C9" i="13"/>
  <c r="C8" i="13"/>
  <c r="C7" i="13"/>
  <c r="C6" i="13"/>
  <c r="K7" i="13" l="1"/>
  <c r="E5" i="16"/>
  <c r="K6" i="13"/>
  <c r="K10" i="13"/>
  <c r="E6" i="16"/>
  <c r="E10" i="16"/>
  <c r="C11" i="16"/>
  <c r="D6" i="16"/>
  <c r="D10" i="16"/>
  <c r="I6" i="15"/>
  <c r="I10" i="15"/>
  <c r="F8" i="13"/>
  <c r="F8" i="16" s="1"/>
  <c r="F12" i="13"/>
  <c r="I7" i="15"/>
  <c r="I7" i="16" s="1"/>
  <c r="I11" i="15"/>
  <c r="E7" i="16"/>
  <c r="E11" i="16"/>
  <c r="D8" i="16"/>
  <c r="E9" i="16"/>
  <c r="I8" i="15"/>
  <c r="I12" i="15"/>
  <c r="I12" i="16" s="1"/>
  <c r="D5" i="16"/>
  <c r="D9" i="16"/>
  <c r="C13" i="15"/>
  <c r="I9" i="15"/>
  <c r="J13" i="15"/>
  <c r="J12" i="16"/>
  <c r="I5" i="15"/>
  <c r="C12" i="16"/>
  <c r="C8" i="16"/>
  <c r="D7" i="16"/>
  <c r="D11" i="16"/>
  <c r="E8" i="16"/>
  <c r="E12" i="16"/>
  <c r="F5" i="13"/>
  <c r="F5" i="16" s="1"/>
  <c r="F6" i="13"/>
  <c r="F6" i="16" s="1"/>
  <c r="F10" i="13"/>
  <c r="F10" i="16" s="1"/>
  <c r="F9" i="13"/>
  <c r="F9" i="16" s="1"/>
  <c r="F12" i="16"/>
  <c r="F7" i="13"/>
  <c r="F7" i="16" s="1"/>
  <c r="F11" i="13"/>
  <c r="F11" i="16" s="1"/>
  <c r="E13" i="13"/>
  <c r="L6" i="13"/>
  <c r="J6" i="16" s="1"/>
  <c r="L11" i="13"/>
  <c r="J11" i="16" s="1"/>
  <c r="C7" i="16"/>
  <c r="K9" i="13"/>
  <c r="G13" i="13"/>
  <c r="C10" i="16"/>
  <c r="C6" i="16"/>
  <c r="C5" i="16"/>
  <c r="K11" i="13"/>
  <c r="K8" i="13"/>
  <c r="H13" i="13"/>
  <c r="J13" i="13"/>
  <c r="C9" i="16"/>
  <c r="F13" i="15"/>
  <c r="E13" i="15"/>
  <c r="D13" i="15"/>
  <c r="D13" i="13"/>
  <c r="C13" i="13"/>
  <c r="E53" i="5"/>
  <c r="F53" i="5"/>
  <c r="F49" i="5" s="1"/>
  <c r="G53" i="5"/>
  <c r="G49" i="5" s="1"/>
  <c r="D53" i="5"/>
  <c r="D49" i="5" s="1"/>
  <c r="E49" i="5" l="1"/>
  <c r="I6" i="16"/>
  <c r="I10" i="16"/>
  <c r="I9" i="16"/>
  <c r="I11" i="16"/>
  <c r="I8" i="16"/>
  <c r="D13" i="16"/>
  <c r="E13" i="16"/>
  <c r="I13" i="15"/>
  <c r="I5" i="16"/>
  <c r="F13" i="13"/>
  <c r="C13" i="16"/>
  <c r="F13" i="16"/>
  <c r="I13" i="16"/>
  <c r="K13" i="13"/>
  <c r="L8" i="13"/>
  <c r="J8" i="16" s="1"/>
  <c r="L9" i="13"/>
  <c r="J9" i="16" s="1"/>
  <c r="L10" i="13"/>
  <c r="J10" i="16" s="1"/>
  <c r="L7" i="13"/>
  <c r="J7" i="16" s="1"/>
  <c r="L5" i="13"/>
  <c r="L13" i="13" l="1"/>
  <c r="J5" i="16"/>
  <c r="J13" i="16" s="1"/>
  <c r="D16" i="4"/>
  <c r="H25" i="12" l="1"/>
  <c r="H9" i="12" l="1"/>
  <c r="H10" i="12"/>
  <c r="H11" i="12"/>
  <c r="G26" i="12" l="1"/>
  <c r="F26" i="12"/>
  <c r="E26" i="12"/>
  <c r="E28" i="12" s="1"/>
  <c r="D26" i="12"/>
  <c r="H24" i="12"/>
  <c r="H23" i="12"/>
  <c r="H22" i="12"/>
  <c r="H21" i="12"/>
  <c r="H20" i="12"/>
  <c r="H19" i="12"/>
  <c r="H18" i="12"/>
  <c r="H17" i="12"/>
  <c r="H16" i="12"/>
  <c r="H15" i="12"/>
  <c r="H14" i="12"/>
  <c r="H13" i="12"/>
  <c r="H12" i="12"/>
  <c r="H8" i="12"/>
  <c r="H7" i="12"/>
  <c r="H6" i="12"/>
  <c r="H5" i="12"/>
  <c r="H4" i="12"/>
  <c r="H27" i="10"/>
  <c r="F59" i="5"/>
  <c r="G59" i="5"/>
  <c r="E59" i="5"/>
  <c r="I4" i="12" l="1"/>
  <c r="H26" i="12"/>
  <c r="H30" i="10"/>
  <c r="H17" i="10" l="1"/>
  <c r="H22" i="10"/>
  <c r="E23" i="5" l="1"/>
  <c r="G23" i="5"/>
  <c r="E32" i="5"/>
  <c r="G32" i="5"/>
  <c r="F32" i="5"/>
  <c r="F23" i="5"/>
  <c r="H24" i="10"/>
  <c r="H25" i="10"/>
  <c r="H26" i="10"/>
  <c r="H28" i="10"/>
  <c r="H29" i="10"/>
  <c r="H31" i="10"/>
  <c r="H32" i="10"/>
  <c r="H21" i="10"/>
  <c r="H23" i="10"/>
  <c r="H16" i="10"/>
  <c r="H18" i="10"/>
  <c r="H19" i="10"/>
  <c r="H20" i="10"/>
  <c r="E33" i="10"/>
  <c r="E35" i="10" s="1"/>
  <c r="H12" i="10"/>
  <c r="H13" i="10"/>
  <c r="H14" i="10"/>
  <c r="H15" i="10"/>
  <c r="F33" i="10"/>
  <c r="G33" i="10"/>
  <c r="D33" i="10"/>
  <c r="H5" i="10"/>
  <c r="H6" i="10"/>
  <c r="H7" i="10"/>
  <c r="H8" i="10"/>
  <c r="H9" i="10"/>
  <c r="H10" i="10"/>
  <c r="H11" i="10"/>
  <c r="H4" i="10"/>
  <c r="F65" i="5" l="1"/>
  <c r="G65" i="5"/>
  <c r="E65" i="5"/>
  <c r="I4" i="10"/>
  <c r="H33" i="10"/>
  <c r="B16" i="16" l="1"/>
  <c r="D59" i="5" l="1"/>
  <c r="D23" i="5"/>
  <c r="D65" i="5" s="1"/>
  <c r="D18" i="4" l="1"/>
  <c r="C16" i="4"/>
  <c r="C18" i="4"/>
</calcChain>
</file>

<file path=xl/sharedStrings.xml><?xml version="1.0" encoding="utf-8"?>
<sst xmlns="http://schemas.openxmlformats.org/spreadsheetml/2006/main" count="405" uniqueCount="258">
  <si>
    <t>หน่วย  :  บาท</t>
  </si>
  <si>
    <t>ที่</t>
  </si>
  <si>
    <t>ไม่ควรสนับสนุนงบประมาณ</t>
  </si>
  <si>
    <t>จำนวน</t>
  </si>
  <si>
    <t>บาท</t>
  </si>
  <si>
    <t>รวมทั้งหมด</t>
  </si>
  <si>
    <t>ค่าใช้จ่ายในการบริหารงานจังหวัด/กลุ่มจังหวัดแบบบูรณาการ</t>
  </si>
  <si>
    <t>ประเด็นการพัฒนา</t>
  </si>
  <si>
    <t>เห็นควรสนับสนุนงบประมาณ
ภายในกรอบวงเงิน</t>
  </si>
  <si>
    <t>เห็นควรสนับสนุนงบประมาณ
เกินกรอบวงเงิน</t>
  </si>
  <si>
    <t>-</t>
  </si>
  <si>
    <t>รวมทั้งสิ้น</t>
  </si>
  <si>
    <t>โครงการที่เสนอใช้งบประมาณจังหวัด/กลุ่มจังหวัด</t>
  </si>
  <si>
    <t>คำอธิบาย</t>
  </si>
  <si>
    <t xml:space="preserve">    ขอความอนุเคราะห์จังหวัด/กลุ่มจังหวัดจัดส่งเอกสารมายังทีมบูรณาการกลางพร้อมกับเล่มแผนพัฒนาและแผนปฏิบัติราชการประจำปี</t>
  </si>
  <si>
    <t xml:space="preserve">    ภายในวันที่ 30 กันยายน ของปีที่ดำเนินการจัดทำแผน</t>
  </si>
  <si>
    <t xml:space="preserve">    รวมทั้งส่งไฟล์ Excel มายัง naruabet@nesdc.go.th; tharadol@nesdc.go.th และ parttana@nesdc.go.th</t>
  </si>
  <si>
    <t xml:space="preserve"> แบบฟอร์มการพิจารณากลั่นกรองแผนปฏิบัติราชการประจำปีงบประมาณ พ.ศ. 2566 กลุ่มจังหวัดภาคตะวันออก 1</t>
  </si>
  <si>
    <t>ประเด็นการพัฒนาที่ 1 พัฒนาพื้นที่เพื่อส่งเสริมการค้า การลงทุนอุตสาหกรรม มุ่งสู่เขตพัฒนาพิเศษภาคตะวันออกที่ดีและทันสมัย</t>
  </si>
  <si>
    <t>ประเด็นการพัฒนาที่ 2 พัฒนาพื้นที่ให้เป็นแหล่งผลิตสินค้าเกษตรที่ได้มาตรฐานและมีมูลค่าสูง</t>
  </si>
  <si>
    <t>ประเด็นการพัฒนาที่ 3 ส่งเสริมและพัฒนาสิ่งอำนวยความสะดวก สินค้า และการบริการด้านการท่องเที่ยว</t>
  </si>
  <si>
    <t>ประเด็นการพัฒนาที่ 4 ส่งเสริมและพัฒนาการบริหารจัดการทรัพยากรธรรมชาติและสิ่งแวดล้อม</t>
  </si>
  <si>
    <t>ประเด็นการพัฒนาที่ 5 พัฒนาทรัพยากรมนุษย์ในทุกช่วงวัยให้มีคุณภาพชีวิตที่ดี มีความมั่นคงปลอดภัย และส่งเสริมการเรียนรู้ตลอดช่วงชีวิต</t>
  </si>
  <si>
    <t>รวม  5  ประเด็นการพัฒนา</t>
  </si>
  <si>
    <t>ค่าใช้จ่ายในการบริหารงานกลุ่มจังหวัดแบบบูรณาการ</t>
  </si>
  <si>
    <t>โครงการที่ 1 อนุรักษ์ ฟื้นฟูทรัพยากรธรรมชาติ สิ่งแวดล้อม และสัตว์ป่า</t>
  </si>
  <si>
    <t>หมายเหตุ : การจัดสรรตามกรอบวงเงินงบประมาณ ปี พ.ศ. 2566 ตามเกณฑ์ ก.บ.ภ. ของกลุ่มจังหวัด 319,503,600 บาท</t>
  </si>
  <si>
    <t>ยุทธศาสตร์</t>
  </si>
  <si>
    <t>หมายเหตุ</t>
  </si>
  <si>
    <t>งบประมาณ</t>
  </si>
  <si>
    <t>y1</t>
  </si>
  <si>
    <t>Y2</t>
  </si>
  <si>
    <t>Y3</t>
  </si>
  <si>
    <t>รวม</t>
  </si>
  <si>
    <t>ลำดับโครงการ</t>
  </si>
  <si>
    <t>ลำดับดับย่อย</t>
  </si>
  <si>
    <t>แขวงทางหลวงชนบทฉะเชิงเทรา</t>
  </si>
  <si>
    <t>กรอบวงเงิน</t>
  </si>
  <si>
    <t>ปรับปรุงและซ่อมสร้างถนน สายแยก ทล.344 – บ้านท่าจาม อำเภอหนองใหญ่ จังหวัดชลบุรี</t>
  </si>
  <si>
    <t>1. ปรับปรุงถนน พร้อมป้ายจราจรและไฟฟ้าส่องสว่าง
2. ต้องสอบถามข้อมูลเพิ่มเติมว่า โครงการที่ 4.1 และ 4.2 มีความเชื่อมโยงกันอย่างไรบ้าง ถ้าเชื่อมโยงกัน จะส่งผลกระทบต่อกลุ่มที่ชัดเจนอย่างไร 
3. สอบถามแผนที่ หรือแผนการดำเนินงาน รวมทั้งเหตุผลประกอบ ว่า ทำไมโครงการที่ 4.1 และ 4.2 มีงบประมาณเท่ากัน แต่โครงการหนึ่ง ทำถนน 7.43 ขณะที่ โครงการที่ 4.2 ทำถนนได้ 10.75 กม. ต่างกันประมาณ 3 ก.ม. นิดๆ
4. อธิบายความเชื่อมโยงการขนส่งสินค้าหรือการเดินทางระหว่างจังหวัด</t>
  </si>
  <si>
    <t>1. ปรับปรุงถนน พร้อมป้ายจราจรและไฟฟ้าส่องสว่าง
2. ความเชื่อมโยงระหว่างจังหวัด</t>
  </si>
  <si>
    <t>สอบถามความเชื่อมโยงระหว่างจังหวัด</t>
  </si>
  <si>
    <t>แขวงทางหลวงชนบทชลบุรี</t>
  </si>
  <si>
    <t>แขวงทางหลวงชนบทระยอง</t>
  </si>
  <si>
    <t>มีการทำทางจักรยานด้วยหรือไม่
2. เชื่อมต่อ อ.บ่อทอง</t>
  </si>
  <si>
    <t>หุ่นยนต์น้อย ร้อยล้านสลายเชื้อไวรัสโคโรนา 2019 (โควิด-19) ในพื้นที่ EEC : Robotics Anti Covid-19 in EEC Area</t>
  </si>
  <si>
    <t>สนง.อุตสาหกรรมจังหวัดระยอง</t>
  </si>
  <si>
    <t>สอบถามข้อมูลเพิ่มเติม
1. ความจำเป็นในการดำเนินโครงการ โดยโครงการมีลักษณะเป็นการสนับสนุนอุปกรณ์ให้กับหน่วยงานด้าน สาธารณสุข 
2. หน่วยงานที่รับผิดชอบบำรุงรักษาเป็นวิทยาลัยสารพัดช่างระยอง ซึ่งไม่ชัดเจนว่าจะมีงบประมาณเพียงพอสำหรับบำรุงรักษาหรือไม่ 
3. หุ่นยนต์ดังกล่าวจะกระจายไปสู่ทั้ง 3 จังหวัดหรือไม่
4. การคัดเลือกลุ่มผู้เข้ารับการฝึกอบรม มีคุณสมบัติของผู้เข้ารับการฝึกอบรมอย่างไร รวมทั้งการนำไปใช้ประโยชน์อย่างไร
5. หุ่นยนต์เป็นการจัดซื้อ หรือจัดทำ และมีจำนวนกี่ตัว 5 ตัว หรือ 15 ตัว
6. อบรมแล้ว ผู้เข้ารับการอบรมจะสามารถผลิตได้หรือจะซ่อมได้หรือไม่อย่างไร 
7 การจ้างเหมาะการฝึกอบรมการใช้งาน แลการบำรุงรักษา Robotic Anti Covid-19 กลุ่มเป้าหมายเป็นใคร</t>
  </si>
  <si>
    <t>ม.ราชภัฏราชนครินทร์</t>
  </si>
  <si>
    <t>ก่อสร้างสถานีสูบน้ำด้วยไฟฟ้าพร้อมระบบส่งน้ำบ้านหนองกวาง ระยะที่ 5</t>
  </si>
  <si>
    <t>ต้องสอบถามข้อมูลเพิ่มเติม
1. พื้นที่ได้รับประโยชน์มีเฉพาะในพื้นที่ อ.แกลง หรือ จังหวัดระยองใช่ใหม
2. มีแผนที่จะดำเนินการวางท่อเพื่อไปเชื่อมโยงกับพื้นที่ อ.นายายอาม ของจังหวัดจันทบุรีหรือไม่
3. ได้ผ่านมติ คณะกรรมการน้ำระดับจังหวัดหรือไม่</t>
  </si>
  <si>
    <t>โครงการส่งน้ำและบำรุงรักษาประแสร์</t>
  </si>
  <si>
    <t>สอบถามข้อมูลเพิ่มเติม
1. การดำเนินกิจกรรมเช่น การตรวจรับรองมาตรฐาน GAP มีกลุ่มเป้าหมายที่ซ้ำซ้อนกับโครงการในระดับจังหวัดหรือไม่
2. การดำเนินงานมีหลายกิจกรรม คงต้องอธิบายลักษณะการดำเนินงานแต่ละกิจกรรมที่ชัดเจน
3. มีกิจกรรมการจัดงานแสดงสินค้า มีรายละเอียดกิจกรรมการดำเนินงานที่ไม่ชัดเจน ไม่มี TOR
4. ประโยชน์จากการตรวจประเมินแปลง GAP มาตรฐานการปลูกปาล์มและปลูกยาง เบื้องต้น มีประโยชน์อย่างไร
5. มีการสร้างโรงเรือนผลิตปุ๋ยหมัก จำนวน 8 โรงเรือน มีลักษระอย่างไร สถานที่ตั้งตรงใหน</t>
  </si>
  <si>
    <t>สนง.เกษตรจังหวัด ระยอง ชลบุรี และ ฉะเชิงเทรา และ สนง. พาณิชย์จังหวัดระยอง ชลบุรี และฉะเชิงเทรา</t>
  </si>
  <si>
    <t>ม.เทคโนโลยีราชมงคลตะวันออก</t>
  </si>
  <si>
    <t>ต้องสอบถามข้อมูลเพิ่มเติม
1. ให้หน่วยงานเกษตรเป็นหน่วยงานหลัก โดยมหาวิทยาลัยเป็นหน่วยร่วมหรือหน่วยดำเนินการร่วม ได้หรือไม่
2. กรณีการพัฒนาผลิตภัณฑ์ผงแป้ง ถ่านชีวภาพ การพัฒนาบรรจุภัณฑ์ จะมีการนำไปใช้อย่างไร
3. การถ่ายทอดความรู้เทคโนโลยี IOT มีลักษณะอย่างไร มีการคัดเลือก farm ต้นแบบอย่างไร</t>
  </si>
  <si>
    <t xml:space="preserve">ปรับปรุงและซ่อมสร้างถนน สายแยก ทล.3245 – บ้านเขาใหญ่ อำเภอบ่อทอง  จังหวัดชลบุรี </t>
  </si>
  <si>
    <t>แขวงทางหลวงชนบท ชลบุรี</t>
  </si>
  <si>
    <t>ต้องสอบถามข้อมูลเพิ่มเติม
1. ถนนเส้นดังกล่าวจะสามารถเชื่อมโยงไปสู่จังหวัดอื่นได้อย่างไร หรือจะส่งผลกระทบในระดับกลุ่มจังหวัดได้อย่างไร
2. มีแผนการเสนอโครงการในแต่ละงบประมาณอย่างไร</t>
  </si>
  <si>
    <t>โยธาธิการและผังเมืองจังหวัดชลบุรี</t>
  </si>
  <si>
    <t>ต้องสอบถามข้อมูล
1. วัตถุประสงค์หลักของท่าเรือ เป็นท่าเทียบเรือประมงหรือท่องเที่ยว
2. ผลลัพธ์ที่จะเกิดขึ้นจากการดำเนินโครงการ
3. ไม่มีเอกสารแสดงการยินยอมในการดูแลและรับผิดชอบบริหารจัดการ</t>
  </si>
  <si>
    <t>ตำรวจภูธรจังหวัดระยอง</t>
  </si>
  <si>
    <t>ของบจังหวัดระยอง น่าจะเหมาะสมกว่า</t>
  </si>
  <si>
    <t xml:space="preserve">สีสันอีอีซี (Colors of EEC) </t>
  </si>
  <si>
    <t>สนง.การท่องเที่ยวและกีฬาจังหวัดชลบุรี</t>
  </si>
  <si>
    <t>สอบถาม 
1. กิจกรรม เทศกาล มีการจัด 4 วัน และมีการจัดเก็บค่า boot ใช่หรือไม่
2. มีการบริหารจัดการอย่างไร งบประมารที่เก็บ
3. รายงานผลการดำเนินงานที่ผ่านมา</t>
  </si>
  <si>
    <t>โครงการชลประทานระยอง</t>
  </si>
  <si>
    <t>สอบถาม
1. ปรับปรุงคลองสาย 3 ใช่หรือไม่
2. คลอระบายน้ำสาย 3 มีความเกี่ยวข้องที่ชัดเจนกับการบริหารจัดการน้ำที่เชื่อมโยงระหว่างจังหวัดระยอง ชลบุรี และฉะเชิงเทรา อย่างไร
3. กิจกรรมการดำเนินการประกอบด้วย 3 กิจกรรม คือ ปรับปรุงอาคารคอนกรีตฯ ปรับปรุงถนนคันคลอง และปรับปรุงพื้นที่บริเวณริมคลอง ใช่หรือไม่
4. การปรับปรุงพื้นที่บริเวณริมคลองประโยชน์ที่ชัดเจนคืออะไร พื้นที่ 5 ไร่ ยังคงเป็นพื้นที่รับผิดชอบของ โครงการชลประทานระยองใช่หรือไม่ และลักษณะกิจกรรรมการดำเนินงานเป็นอย่างไร</t>
  </si>
  <si>
    <t>สนง. ทรัพยากรทางทะเลและชายฝั่งที่ 1 และ 2</t>
  </si>
  <si>
    <t>สอบถาม
1. กรณีกิจกรรมที่ 3 เฝ้าระวัน ป้องกันฯ โดยมีการใช้จ่ายงบประมาณ เกี่ยวกับ ค่าเบี้ยเลี้ยงเจ้าหน้าที่ ค่าน้ำมันเรือ ค่าดำน้ำเก็บขยะ (ซึ่งไม่ชัดเจนว่า เฉพาะเจ้าหน้าที่ใช่หรือไม่ ที่ดำเนินกิจกรรมนี้) (4,942,400 บาท)
2. การติดตั้งทุ่นขยะ ต้องขอนุญาติจากกรมเจ้าท่าหรือไม่
3. แสดงจุดติดตั้งที่ชัดเจน
4. . อธิบายการทำงานของทุ่น มีลักษณะอย่างไร จะมีขยะบริเวณทุ่น และทำการเก็บ ขณะที่หลังจากโครงการแล้วเสร็จ จะมีการเก็บขยะบริเวณทุ่นอย่างไร</t>
  </si>
  <si>
    <t>สนง.พัฒนาสังคมและความมั่นคงของมนุษย์จังหัดชลบุรี ระยอง และฉะเชิงเทรา</t>
  </si>
  <si>
    <t>การเชื่อมโยงกับแผนพัฒนาเศรษฐกิจและสังคมแห่งชาติ ยังคงเชื่อมโยงกับ แผนฯ 12</t>
  </si>
  <si>
    <t>สอบถามข้อมูลเพิ่มเติม
1. อธิบายถึงกลุ่มเป้าหมาย การคัดเลือกกลุ่มเป้าหมาย และประโยชน์ที่เกิดขึ้นจากการดำเนินกิจกรรมพัฒนาทักษะการดูแลเด็กให้ผู้ปกครองกลุ่มเปราะบาง และกิจกรรมฝึกทักษะเยาชนเพื่อให้บริการนักท่องเที่ยวผู้สูงอายุฯ
2. กิจกรรมที่ 3 ฝึกอาชีพ มีการคัดเลือกกลุ่มเป้าหมาย และมีหลักเกณฑ์ในการเลือกหลักสูตรการฝึกอบรมให้ตรงกับความต้องการของกลุ่มเป้าหมายมีลักษณะอย่างไร (อบรมประมาณ 600 คน)
3. ต้องให้แยกงบประมาณในแต่ละกิจกรรมให้ชัดเจน ซึ่งในชั้นนี้ ไม่สามารถแยกได้ ขณะที่กิจกรรมที่ควรสนับสนุนคือกิจกรรมที่ 3 ประมาณ 10 ล้าน แต่เนื่องจากไม่สามารถแยกงบประมาณได้อย่างชัดเจน จึงไม่สนับสนุนไว้ก่อน รอการชี้แจง</t>
  </si>
  <si>
    <t>สนง.ศึกษาธิการภาค 8</t>
  </si>
  <si>
    <t>ต้องสอบถามข้อมูล
1. หลักสูตรการฝึกอบรมเป็นอย่างไร
2. การคัดเลือกลุ่มเป้าหมาย มีการคัดเลือกอย่างไร โดยการฝึกอบรมผ่าน Zoom ซึ่งผู้สูงอายุอาจจะไม่สามารถใช้เทคโนโลยีดังกล่าว ขณะที่คนที่สามารถใช้เทคโนโลยีดังกล่าว อาจจะไม่มีความจำเป็นที่จะต้องข้ารับการฝึกอบรมอาชีพ
3. การฝึกอบรมผ่าน Zoom ซึ่งบางหลักสูตร อาจจะใหม่สำหรับการฝึกอบรม และอาจจะมีการเน้นปฏิบัติ ซึ่งการอบรมผ่าน zoom จะเป็นอุปสรรคในการฝึกปฏิบัติหรือไม่</t>
  </si>
  <si>
    <t>น้อยกว่ากรอบ</t>
  </si>
  <si>
    <t>Section 2</t>
  </si>
  <si>
    <t>สอบถาม
1. ระยะทางปรับปรุงถนนที่ชัดเจน คือ 3.5 กม. หรือ 2.45 กม.</t>
  </si>
  <si>
    <t>ปรับปรุงถนนสาย ทล. 344 - บ้านอ่างแก้ว อำเภอหนองใหญ่ จังหวัดชลบุรี</t>
  </si>
  <si>
    <t>สอบถาม
1. ความเชื่อมโยงกับถนนเส้นอื่นๆ รวมทั้งจังหวัดอื่นๆ ของ กลุ่ม ตอ. 1</t>
  </si>
  <si>
    <t>สอบถาม
1. ลักษณะการดำเนินการเป็นอย่างไร ขยายถนน หรือ ปรับปรุงถนน
2. ความเชื่อมโยงของถนนที่ดำเนินการของ ทช ที่ขอรับงบ ตอ. 1 มีลักษณะเป็นอย่างไร</t>
  </si>
  <si>
    <t>สอบถาม
1. ความเชื่อมโยงกับพื้นที่อื่นๆ ภายในกลุ่มจังหวัด
2. ระยะทางดำเนินโครงการ 3 กม. หรือ 2.1 กม.</t>
  </si>
  <si>
    <t xml:space="preserve">สอบถาม
1. ระยะทาง 2.225 ใช่ใหม
2. สามารถเชื่อมโยงกับจังหวัดอื่นอย่างไร 
3. ทำไมไม่ขอในงบจังหวัด หรือแม้กระทั้งในส่วนที่ 1 ทำไม่ไม่อยู่ในส่วนที่ 1 </t>
  </si>
  <si>
    <t>สอบถามข้อมูลเพิ่มเติม
1. สามารถให้หน่วยอื่นๆ เช่น ศิกษาธิการ กรมพัฒนาฝีมือแรงงาน เป็นหน่วยดำเนินการหลัก ขณะที่มหาวิทยาลัยเป็นหน่วยงานร่วม
2. ไม่ชัดเจนเรื่องความพร้อม เนื่องจากจะต้องมีการจัดทำแผนในการพัฒนาหลักสูตร แผนในการฝึกอบรม และพัฒนาหลักสูตร หากไม่ดำเนินการ จะสามารถดำเนินการได้หรือไม่
3. มีการร่วมกับผู้ประกอบการ อาทิ บ.เอสเอพี กลุ่มไมเนอร์ อินเตอร์เนชั่นแนล โดยมีลักษณะอย่างไร</t>
  </si>
  <si>
    <t>หน่วยงานร่วมดำเนินการ ประกอบด้วย สนง. สาธารณสุขในจังหวัดในพื้นที่ EEC สนง. พัฒนาฝีมือแรงงานจังหวัดในพื้นที่ EEC สถานประกอบการเพื่อสุขภาพในพื้นที่ EEC วิทยาลัยอาชีวศึกษาในพื้นที่ EEC
1. อบรมครู พัฒนาหลักสูตร ซึ่งเป็นภารกิจปกติ
2. กลุ่มเป้าหมายในการฝึกอบรม คือ อ. หรือ ครู ใช่หรือไม่</t>
  </si>
  <si>
    <t xml:space="preserve">ต้องสอบถามข้อมูลเพิ่มเติม
1. พื้นที่ได้รับประโยชน์มีเฉพาะในพื้นที่ อ.แกลง หรือ จังหวัดระยองใช่ใหม (ดำเนินการในคลองวังหว้า)
2. มีแผนที่จะดำเนินการวางท่อเพื่อไปเชื่อมโยงกับพื้นที่ อ.นายายอาม ของจังหวัดจันทบุรีหรือไม่
3. ได้ผ่านมติ คณะกรรมการน้ำระดับจังหวัดหรือไม่
4. มีความเชื่อมโยงกับโครงการที่ 2 ของ ส่วนที่ 1 อย่างไร
5. มีการระบุที่ค่อนข้าชัดเจนว่า กลุ่มผู้ที่ม่ส่วนได้ส่วนเสีย คือ ราษฎรในพื้นที่ตำบลวังหว้า
6. มีการชุดลอกคลองด้วยหรือไม่
</t>
  </si>
  <si>
    <t>ประยุกต์ใช้เทคโนโลยีสารสนเทศเพื่อการบริหารจัดการศูนย์กระจายสินค้าทางการเกษตร</t>
  </si>
  <si>
    <t>คณะโลจิสติกส์ (น่าจะ ม.บูรพา ไม่ได้ระบุชื่อมหาวิทยาลัย)</t>
  </si>
  <si>
    <t>ม.บูรพา</t>
  </si>
  <si>
    <t>มหาวิทยาลัยเสนอเยอะ ซึ่งมีลักษณะเป็นการพัฒนาหลักสูตร ดำเนินการฝึกอบรม รวมทั้งการก่อสร้างอาคาร Food Innovation จัดซื้อครุภัณฑ์ เช่น โต๊ะ เครื่องมือวิทยาศาสตร์</t>
  </si>
  <si>
    <t>เมืองนวัตกรรมอาหาร</t>
  </si>
  <si>
    <t xml:space="preserve">ปรับปรุงและซ่อมสร้างถนน สายแยก ทล.3144 – อ่างเก็บน้ำบางพระ อำเภอศรีราชา จังหวัดชลบุรี </t>
  </si>
  <si>
    <t>ส่งเสริมการท่องเที่ยวในจังหวัดชลบุรี รวมที้งจังหวัดอื่นๆ ในพื้นที่ EEC และอำนวยความสะดวกในการเดินทางของประชาชน</t>
  </si>
  <si>
    <t>สนง.โยธาธิการและผังเมืองจังหวัดชลบุรี</t>
  </si>
  <si>
    <t>1. ไม่ชัดเจนในภารกิจของ กรมโยธาธิการฯ ที่เกี่ยวข้องกับการจัดทำห้องน้ำบริเวณชายหาด
2. อาจจะต้องบอกให้ชัดเจนว่า ทำไมถึงของบกลุ่ม การดำเนินกิจกรรมดังกล่าวจะเพิ่มรายได้ให้กับกลุ่มจังหวัดอย่างไร
3. เทศบาลตำบลเกาะสีชังเป็นหน่วยงานบำรุงรักษา มีเอกสาร และได้รับอนุญาตจากกรมป่าไม้ แล้งว</t>
  </si>
  <si>
    <t>สนง.ท่องเที่ยวและกีฬาจังหวัดระยอง</t>
  </si>
  <si>
    <t>1. มีหน่วยงานร่วมดำเนินการจำนวนมาก จะลักษณะการดำเนินการอย่างไร
2. มีหลักเกณฑ์ในการคัดเลือกชุมชนท่องเที่ยวหรือวิสาหกิจชุมชนอย่างไร
3. กลุ่มเป้าหมายจะมีความซ้ำซ้อนกับโครงการที่ดำเนินการโดยใช้งบประมาณจังหวัดหรือไม่</t>
  </si>
  <si>
    <t>เป็นการฝึกอบรมผู้ประกอบการโฮมเสตย์รายเก่าที่ใบอนุญาติหมดอายุ เพื่อทบทวนและรักษามาตรฐานการให้บริการ เพื่อให้สามารถบริการนักท่องเที่ยวได้อย่างมีคุณภาพและได้มาตรฐาน
2. อธิบายเพิ่มเติมพื้นที่ของ โรงแรมที่ฝึกอบรม</t>
  </si>
  <si>
    <t>สนง. บริหารพื้นที่อนุรักษ์ที่ 2 (ศรีราชา)</t>
  </si>
  <si>
    <t>ต้องสอบถามข้อมูลเพิ่มเติม
1. พั้นที่ดำเนินการทีชัดเจน เป็นอย่างไร คือ อยู่ใน อ. บ่อทอง และ ท่าตะเกียบใช่หรือไม่
2. การก่อสร้างรัว 3 กม. มีลักษณะแนวรั้วเป็นอย่างไร
3. ขุดแหล่งน้ำ 21,000 ลฃ.ม. ขุดเป็นแหล่งน้ำบ่อเดียว หรือ กี่บ่อ 
4. ต้องมีการศึกษาความเหมาะสมหรือไม่
5. ต้องขอ อนุญาติจากกรม อุทยานหรือใหม่ เนื่องจากเป็นการลงทุนและมีการบำรุงรักษา
6. มีแต่ ปร.5
6. เบื้องต้นไม่ให้ไว้ก่อน
8. ต้องสอบถามทีมบูรณาการ</t>
  </si>
  <si>
    <t>อีกทั้งกิจกรรมการดำเนินงานมีลักษณะที่เป็นงานศึกษาวิจัย เพื่อสำรวจพันธุ์ไม้ ซึ่งไม่สอดคล้องกับหลักเกณฑ์ ก.บ.ภ.</t>
  </si>
  <si>
    <t>1. โครงการมีลักษณะเชื่อมโยงกับโครงการที่ 12.1
2. อีกทั้งกิจกรรมการดำเนินงานมีลักษณะที่เป็นงานศึกษาวิจัย เพื่อพัฒนาสื่อการเรียนรู้ ซึ่งไม่สอดคล้องกับหลักเกณฑ์ ก.บ.ภ.</t>
  </si>
  <si>
    <t>พื้นที่แสมสาร
1. เป็นการสำรวจพันธุ์ไม้และจัดทำแผนที่ศึกษาเส้นทางธรรมชาติ และเขียนบทความวิจัย</t>
  </si>
  <si>
    <t>กว้าง 8-12 เมตร หนา 0.05
มี ปร 4/5 แบบรูป</t>
  </si>
  <si>
    <t>กว้าง 7 เมตร หนา 0.05
มี ปร 4/5 แบบรูป</t>
  </si>
  <si>
    <t>กว้าง 12 เมตร หนา 0.05
มี ปร 4/5 แบบรูป</t>
  </si>
  <si>
    <t>กว้าง 12 เมตร 
มี ปร 4/5 แบบรูป</t>
  </si>
  <si>
    <t>สนง.อุตสาหกรรมจังหวัด ฉะเชิงเทรา ชลบุรี ระยอง</t>
  </si>
  <si>
    <t>สัมมนาให้ความรู้แก่สถานประกอบการด้านการเชื่อมโยงห่วงโซ่อุปทาน
2 จ้างผู้เชี่ยวชาญาให้คำแนะนำเชิงลึก แก่สนถานประกอบการ 60 ราย เงิน 5 ล้านบาท
3. กลุ่มเป้าหมายเป็นผู้ประกอบการ SME และวิสาหกิจชุมชน</t>
  </si>
  <si>
    <t>สอบถามข้อมูลเพิ่มเติม
1. การทำแผนธุรกิจจะทำให้กี่หน่วยธุรกิจ และการนำไปใช้ ความคุ้มค่าเป็นอย่างไร
3. การนำเทคโนโลยีมามใช้ในการบริหารจัดการ มีลักษณะการวัดผลอย่างไร
4. กลุ่มเป้าหมาย 60 ราย มีการคัดเลือกอย่างไร
5. หน่วยดำเนินงาน ร่วมกัน 3 จังหวัด</t>
  </si>
  <si>
    <t>1. กลุ่มเป้าหมาย เป็น ทายาทธุรกิจและนักศึกษาจบใหม่ ใน Eec 30 ราย
2. กิจกรรม รับสมัคร จ้างเหมาฝึกอบรมและบุ่มเพาะองค์ความรู้ Robotic Anti Covid 30 ราย และติดตั้งต้นแบบ Robotic 15 ตัว เครื่องละประมาณ 105,700 บาท
3. จ้างเหมาะฝึกอบรมการใช้งานและบำรุงรักษา
4. ดำเนินการทั้ง 3 จังหวัด แต่ไม่ทราบว่าติดตั้งที่ใหนบ้าง</t>
  </si>
  <si>
    <t xml:space="preserve">1. ชื่อโครงการเป็นการก่อสร้างสถานีสูบน้ำพร้อมท่อส่งน้ำ แต่การดำเนินการเป็นการยยายท่อส่งน้ำ ซึ่งเดิมได้รับงบกลุ่ม ตอ. 1 ปี 65 ซึ่ง ก่อสร้าง ได้ 8.46 โดยต้องการดำเนินการต่ออีก 0.936 ก.ม.
กลุ่มเป้าหมายเขียน ประชาชนในพื้นที่ตำบลวังหว้า 259 ครัวเรือนร
2. พื้นที่ประโยชน์ 300 ไร่
</t>
  </si>
  <si>
    <t>กว้าง 12 เมตร 
มี ปร4/5 แบบรูป</t>
  </si>
  <si>
    <t>ต้องสอบถามข้อมูลเพิ่มเติม
1. การก่อสร้างระยะที่ 1 และระยะที่ 2 มีการเชื่อมโยงกันอย่างไร
3. วัตถุประสงค์ของการสร้างลาน คือ ไว้จัดงานส่งเสริมการท่องเที่ยว แสดงสินค้าและจำหน่ายสินค้าพื้นเมือง ใช่หรือไม่
4. ไม่มีหนังเสือแสดงหน่วยงานบำรุงรักษา</t>
  </si>
  <si>
    <t>1. ก่อสร้างลานเอนกประสงค์ ระยะที่ 2 พร้อมปรับปรุงภูมิทัศน์ และระบบไฟฟ้าส่องสว่าง 1 แห่ง
2. พื้นที่บริเวณเลียบชายฝั่งทะเลเทศบาลเมืองชลบุรี 
3. มีปร 4/5 แบบรูป และใบอนุญาติล่วงล้ำลำน้ำ</t>
  </si>
  <si>
    <t>1 ก่อสร้างสะพานขนาดกล้าว 6 เมตร ยาว 184 เมตร
2. เท่าเทียบเรือ กว้าง 16 เมตร ยาว 36 เมตร
3. ระบบไฟฟ้าส่องสว่าง
4. ไม่ชัดเจนในประโยชน์ที่จะเกิดขึ้น ที่มากกว่า 2 จังหวัด</t>
  </si>
  <si>
    <t>ต้องสอบถามข้อมูล 
2. ตัวชี้วัดโครงการกำหนดว่า จำนวนนักท่องเที่ยวเพิ่มขึ้น CCTV สามารถส่งผลให้นักท่องเที่ยวเพิ่มได้ ร้อยละ 5 ได้อย่างไร
3. การติดตั้งที่ระยอง จะส่งผลกระทบต่อระดับกลุ่มจังหวัดได้อย่างไร
4. สามารถเชื่อมต่อระบบกับระบบเดิมที่มีอยู่ได้หรือไม่อย่างไร
5. ตัวลิขสิทธิ์เป็นตลอดชีพหรือไม่
6. ไม่มีตัวเลขแสดงการเกิดอาชญากรรมในพื้นที่อย่างชัดเจน</t>
  </si>
  <si>
    <t>1. มี TOR
2. ออกร้าน OTOญ ธุรกิจโรงแรม</t>
  </si>
  <si>
    <t>1. กิจกรรม เป็นการปรับปรุงอาคารคอนกรีตล้วนปนหินใหญ่ตามลาดตลิ่งยาว 1.2 กม.
2. ปรับปรุงคันคลองยาว 1.2 กม.
3. ปรับปรุงพื้นที่บริเวณริมคลอง 5 ไร่
4. มี ปร4 5 แบบรูป แต่แบบรูปที่แสดง โดยเฉพาะ การปรับปรุงพื้นที่ ไม่ชัดเจน
5. เพิ่มพื้นที่สีเขียว ซึ่งไม่ชัดเจนว่าจำเป็นหรือไม่ ประมาณ 5.6 ล้าน</t>
  </si>
  <si>
    <t>1 มี 3 กิจกรรม คื่อ ติดตั้งทุ่นกันขยะเข้าและออก ระยะทาง 4.5 กม.
2. กิจกรรมดำเนิ้เก็บขยะ 16 ครั้ง ผู้เข้าร่วมกิจกรรมและเจ้าหน้าที่
3. เฝ้าระวัง ป้องกัน กิจกรรมที่สร้างปัญหาขยะทะเลและส่งผลกระทบต่อระบบนิเวศในทะเลและชายฝั่ง จำนวนรวม 30 ครัง
4. มีลักษณะทุ่น มีใบเสนอราคา
5. ไม่มีเอกสารอนุญาติส่วนกลาง แต่ไม่แน่ในว่าจำเป็นต้องมีหรือไม่</t>
  </si>
  <si>
    <t>1. กิจกรรมดำเนินงาน 1. พัฒนาทักษะการดูแลเด็กให้ผู้ปกครองกลุ่มเปราะบาง
2. เสริมสร้างทักษะเด็กและเยาวชนจากครัวเรือนเปราะบาง ในการแนะนำสถานที่ท่องเที่ยวของจังหวัด ใน eec
3. พัฒนาทักษะอาชีพให้กลุ่มเปราะบาง (3.57 ล้านบาท โดยเป็นการฝึกอาชีพ ดอกไม้จันทร์ ทำเครื่องดื่มและขนม อาหารจานเดียว
4. กลุ่มเป้าหมาย เป็นกลุ่มเปราะบาง ไม่ชัดเจนว่ากลุ่มอะไรบ้าง</t>
  </si>
  <si>
    <t>กลุ่มเป้าหมายเป็นแรงาน สูงอายุ ใน 3 จังหวัด 800 คน
เป็นการจัดอบรมผ่าน zoom</t>
  </si>
  <si>
    <t>มี ปร4/5 แบบรูป</t>
  </si>
  <si>
    <t>มี ปร4/5 แบบรูป
มีหนังสืออนุญาติ ให้กับเทศบาลตำบลเกาะสีชัง
มีหนังสือรับที่จะดูแลและบำรุงรักษาจากเทศบาลตำบลเกาะสีชัง</t>
  </si>
  <si>
    <t>มี TOR
กลุ่มเป้าหมายเป็นชุมชนท่องเที่ยว 3 จังหวัด</t>
  </si>
  <si>
    <t>สร้างเพนียดและแหล่งน้ำ
บ่อทอง ชลบุรี และท่าตะเกียบ ฉะเชิงเทรา ในเขตรักษาพันธ์สัตว์ป่า เขาอ่าฤาไน
มี ปร4/5 คือ สามารถให้ส่งแบบรูปได้</t>
  </si>
  <si>
    <t>มีการรวม กิจกรรม 7.1 และ 7.2 แล้ว โดยมีการรวมกันของ 3 หน่วย สนงทางทะเลและชายฝั่ง 1 และ 2 และศูนย์วิจัยทางทะเลยและชายฝั่งตะวันออก</t>
  </si>
  <si>
    <t>งบประมาณเดิม 15754800 บาท</t>
  </si>
  <si>
    <t>ติดตั้งระบบกล้องโทรทัศน์วงจรปิด (CCTV) 
(ถนน 36)</t>
  </si>
  <si>
    <t>ติดตั้งระบบกล้องโทรทัศน์วงจรปิด (CCTV) 
(ถนนสุขุมวิท 3)</t>
  </si>
  <si>
    <t xml:space="preserve">ชื่อชุดโครงการ 
</t>
  </si>
  <si>
    <t xml:space="preserve">กิจกรรม/โครงการในชุดโครงการ
</t>
  </si>
  <si>
    <t xml:space="preserve">งบประมาณ
ที่เสนอขอ (บาท)
</t>
  </si>
  <si>
    <t xml:space="preserve">งบประมาณ
ที่เห็นควรสนับสนุนภายในกรอบวงเงิน(บาท)/ Y1
</t>
  </si>
  <si>
    <t xml:space="preserve">งบประมาณ
ที่เห็นควรสนับสนุนเกินกรอบวงเงิน (บาท)/ Y2
</t>
  </si>
  <si>
    <t xml:space="preserve">ความเห็นของฝ่ายเลขานุการ
</t>
  </si>
  <si>
    <t>ปรับปรุงถนนลาดยางแอสฟัลต์คอนกรีต
สายแยก ทล.3076 - บ้านไทรทอง 
อำเภอแปลงยาว จังหวัดฉะเชิงเทรา 
เชื่อมต่อ ทล.331 อำเภอพนัสนิคม จังหวัดชลบุรี</t>
  </si>
  <si>
    <t>ปรับปรุงถนนลาดยางแอสฟัลต์คอนกรีตสาย 
แยก ทล.331 เชื่อม ทล.3245 บ้านหนองปลาดุก อำเภอแปลงยาว จังหวัดฉะเชิงเทรา</t>
  </si>
  <si>
    <t>พัฒนาปรับปรุงขยายผิวจราจรลาดยาง 
สาย รย.5002 แยก ทช.รย.4005 – บ้านคลองยาง อำเภอเขาชะเมา จังหวัดระยอง 
เชื่อมเขตอำเภอบ่อทอง จังหวัดชลบุรี</t>
  </si>
  <si>
    <t>ยกระดับอุตสาหกรรมด้วยนวัตกรรม
เพื่อการลดต้นทุนและเข้าสู่อุตสาหกรรม 4.0</t>
  </si>
  <si>
    <t>พัฒนาทักษะที่พึงประสงค์ในการทำงานรองรับ
การเติบโตในพื้นที่เขตพัฒนาพิเศษภาคตะวันออก</t>
  </si>
  <si>
    <t>เพิ่มประสิทธิภาพการผลิตและสร้างมูลค่า
สินค้าเกษตรปลอดภัยและได้มาตรฐาน</t>
  </si>
  <si>
    <t>ถ่ายทอดเทคโนโลยีและนวัตกรรมห่วงโซ่คุณค่า
ของทุเรียนเพื่อสร้างต้นแบบเกษตรเชิงสร้างสรรค์</t>
  </si>
  <si>
    <t>ก่อสร้างลานอเนกประสงค์ ระยะที่ 2 
อำเภอเมืองชลบุรี จังหวัดชลบุรี</t>
  </si>
  <si>
    <t>ก่อสร้างสะพานท่าเทียบเรือบริเวณ
ชายทะเลบางพระ ตำบลบางพระ 
อำเภอศรีราชา จังหวัดชลบุรี</t>
  </si>
  <si>
    <t>พัฒนากำลังคนสำหรับกลุ่มอุตสาหกรรม
การท่องเที่ยวกลุ่มรายได้ดีและการท่องเที่ยว
เชิงสุขภาพ เพื่อรองรับการเติบโต
ของพื้นที่เขตพัฒนาพิเศษภาคตะวันออก (EEC)</t>
  </si>
  <si>
    <t>โครงการที่ 2 บริหารจัดการขยะที่ส่งผลกระทบต่อระบบนิเวศทางทะเลและชายฝั่ง
แบบมีส่วนร่วมอย่างยั่งยืน</t>
  </si>
  <si>
    <t>พัฒนาทักษะอาชีพของกลุ่มแรงงานสูงอายุ
นอกระบบด้วยเทคโนโลยีดิจิทัล</t>
  </si>
  <si>
    <t xml:space="preserve">ปรับปรุงและซ่อมสร้างถนน สายแยก ทล.3401 –บ้านคลองพลู อำเภอหนองใหญ่ จังหวัดชลบุรี </t>
  </si>
  <si>
    <t xml:space="preserve">ปรับปรุงถนนลาดยางแอสฟัลต์คอนกรีต 
สายแยกทางหลวงหมายเลข 3076 – 
บ้านธรรมรัตน์ใน ตำบลคลองตะเกรา 
อำเภอท่าตะเกียบ จังหวัดฉะเชิงเทรา
เชื่อมทางหลวงหมายเลข 3245 
ตำบลเกษตรสุวรรณ อำเภอบ่อทอง จังหวัดชลบุรี </t>
  </si>
  <si>
    <t>พัฒนาปรับปรุงขยายผิวจราจรลาดยาง
และแก้ไขปัญหาน้ำท่วมในเขตเมืองระยอง 
สาย รย.5037 แยกทางหลวงชนบท 
รย.4006 - บ้านเชิงเนิน อำเภอเมือง 
จังหวัดระยอง</t>
  </si>
  <si>
    <t>ยกระดับวิทยากรแกนนำสู่การพัฒนากำลังคน
ในกลุ่มอุตสาหกรรมเป้าหมายเพื่อรองรับ
การเติบโตของพื้นที่เขตพัฒนาพิเศษ
ภาคตะวันออก (EEC)</t>
  </si>
  <si>
    <t xml:space="preserve">ก่อสร้างประตูระบายน้ำบ้านเนินหย่อง 
ตำบลวังหว้า อำเภอแกลง จังหวัดระยอง </t>
  </si>
  <si>
    <t>ส่งเสริมและยกระดับผลิตภัณฑ์สินค้าท่องเที่ยวชุมชนกลุ่มจังหวัดภาคตะวันออก 1 
(ชลบุรี ฉะเชิงเทรา ระยอง)</t>
  </si>
  <si>
    <t>อนุรักษ์และการใช้ประโยชน์
ด้านทรัพยากรธรรมชาติและวัฒนธรรม
ภาคตะวันออก : พิพิธภัณฑ์ผ้าทอมือบ้านมาบหม้อ ยายหง่วน ยายไอ๊ ชุมชนบ้านมาบหม้อ 
หมู่ที่ 7 ตำบลบ้านปึก อำเภอเมือง จังหวัดชลบุรี</t>
  </si>
  <si>
    <t>ฝึกอบรมเชิงปฏิบัติการพัฒนาชุมชนท้องถิ่น
ในรูปแบบที่พักสัมผัสวัฒนธรรมชนบทโฮมสเตย์ไทยในเขตพื้นที่ภาคตะวันออก</t>
  </si>
  <si>
    <t>พัฒนาสื่อการเรียนรู้ด้านทรัพยากรธรรมชาติ
และสิ่งแวดล้อมบริเวณเส้นทางเดินศึกษาธรรมชาติพื้นที่พิพิธภัณฑ์ธรรมชาติวิทยาเกาะและทะเลไทย เขาหมาจอ ตำบลแสมสาร อำเภอสัตหีบ 
จังหวัดชลบุรี</t>
  </si>
  <si>
    <t>การสำรวจและจัดทำแผนที่เส้นทางเดินศึกษาธรรมชาติระยะสั้นบริเวณฝั่งตะวันออกในพื้นที่โครงการอนุรักษ์พันธุกรรมพืชอันเนื่องมาจาก
พระราชดำริสมเด็จพระเทพรัตนราชสุดา ฯ 
สยามบรมราชกุมารี เกาะแสมสาร อำเภอสัตหีบ จังหวัดชลบุรี</t>
  </si>
  <si>
    <t>พัฒนาทักษะชีวิตและทักษะคิดคำนวณของนักเรียนมัธยมศึกษาสำหรับรองรับเขตพัฒนาพิเศษ
ภาคตะวันออก</t>
  </si>
  <si>
    <t>Cat</t>
  </si>
  <si>
    <t>โครงสร้างพื้นฐาน</t>
  </si>
  <si>
    <t>แหล่งน้ำ</t>
  </si>
  <si>
    <t>การท่องเที่ยว</t>
  </si>
  <si>
    <t>การเกษตร</t>
  </si>
  <si>
    <t>การค้า ลงทุน และอุตสาหกรรม</t>
  </si>
  <si>
    <t>ทรัพยากรธรรมชาติและสิ่งแวดล้อม</t>
  </si>
  <si>
    <t>อื่นๆ</t>
  </si>
  <si>
    <t>ถนนและสิ่งอำนวยความสะดวก</t>
  </si>
  <si>
    <t>โครงการ</t>
  </si>
  <si>
    <t>รายการ</t>
  </si>
  <si>
    <t>ลำดับ</t>
  </si>
  <si>
    <t>สังคม ทั้งด้านการศึกษา คุณภาพชีวิตประชาชน และความมั่นคง</t>
  </si>
  <si>
    <t>Y1</t>
  </si>
  <si>
    <t>โครงการทั้งหมด</t>
  </si>
  <si>
    <t>สนับสนุนทั้งหมด</t>
  </si>
  <si>
    <t>ไม่สนับสนุน</t>
  </si>
  <si>
    <t>ปรับปรุงถนนสาย ทล. 331 - บ้านเฉลิมลาภ
อำเภอศรีราชา อำเภอหนองใหญ่ จังหวัดชลบุรี</t>
  </si>
  <si>
    <t>โครงการที่ 1 พัฒนาโครงสร้างพื้นฐานและระบบการบริหารจัดการน้ำเพื่อส่งเสริม
ด้านการเกษตร</t>
  </si>
  <si>
    <t>โครงการที่ 2 เพิ่มประสิทธิภาพ
การผลิตสินค้าเกษตรปลอดภัยและส่งเสริม
การใช้เทคโนโลยี นวัตกรรมเพื่อการผลิต
และกระจายสินค้าเกษตร</t>
  </si>
  <si>
    <t>โครงการที่ 1 พัฒนาโครงสร้างพื้นฐานด้านเส้นทางคมนาคมเชื่อมโยงเข้าสู่แหล่งท่องเที่ยว รองรับการขยายตัวภาคการท่องเที่ยว</t>
  </si>
  <si>
    <t>โครงการที่ 2 พัฒนาโครงสร้างพื้นฐาน 
สิ่งอำนวยความสะดวกเพื่อปรับปรุง
แหล่งท่องเที่ยวภายในกลุ่มจังหวัด
ภาคตะวันออก 1</t>
  </si>
  <si>
    <t xml:space="preserve">โครงการที่ 3 พัฒนาโครงสร้างพื้นฐาน
สร้างความเชื่อมั่นในความปลอดภัย
เพื่อการท่องเที่ยวอย่างยั่งยืน </t>
  </si>
  <si>
    <t>โครงการที่ 4 ส่งเสริมการท่องเที่ยว 
และยกระดับผลิตภัณฑ์สินค้าด้านการท่องเที่ยว</t>
  </si>
  <si>
    <t xml:space="preserve">โครงการที่ 5 พัฒนาบุคลากรด้านการท่องเที่ยวในพื้นที่เขตพัฒนาพิเศษภาคตะวันออก  </t>
  </si>
  <si>
    <t>โครงการที่ 1 พัฒนาทรัพยากรมนุษย์
ในทุกช่วงวัยให้มีคุณภาพชีวิตที่ดี 
และส่งเสริมการเรียนรู้ตลอดช่วงชีวิต</t>
  </si>
  <si>
    <t>สรุปผลการพิจารณากลั่นกรองแผนปฏิบัติราชการประจำปีงบประมาณ พ.ศ. 2566 กลุ่มจังหวัดภาคตะวันออก 1</t>
  </si>
  <si>
    <t xml:space="preserve">สำนักงานอุตสาหกรรมจังหวัดฉะเชิงเทรา, สำนักงานอุตสาหกรรมจังหวัดชลบุรี, สำนักงานอุตสาหกรรมจังหวัดระยอง </t>
  </si>
  <si>
    <t>สำนักงานอุตสาหกรรมจังหวัดระยอง, สำนักงานอุตสาหกรรมจังหวัดชลบุรี, สำนักงานอุตสาหกรรมจังหวัดฉะเชิงเทรา</t>
  </si>
  <si>
    <t>มหาวิทยาลัยราชภัฏราชนครินทร์</t>
  </si>
  <si>
    <t>สำนักงานเกษตรและสหกรณ์จังหวัดชลบุรี (เจ้าภาพ)
สำนักงานเกษตรและสหกรณ์จังหวัดระยอง และจังหวัดฉะเชิงเทรา (หน่วยดำเนินการร่วม)
สำนักงานพาณิชย์จังหวัดชลบุรี (เจ้าภาพ)
สำนักงานพาณิชย์จังหวัดระยอง และจังหวัดฉะเชิงเทรา (หน่วยดำเนินการร่วม)</t>
  </si>
  <si>
    <t>มหาวิทยาลัยเทคโนโลยีราชมงคลตะวันออก (เจ้าภาพ) สำนักงานเกษตรจังหวัดระยอง จังหวัดชลบุรี และจังหวัดฉะเชิงเทรา (หน่วยดำเนินการร่วม)</t>
  </si>
  <si>
    <t>สำนักงานโยธาธิการและผังเมืองจังหวัดชลบุรี</t>
  </si>
  <si>
    <t>สำนักงานการท่องเที่ยวและกีฬาจังหวัดชลบุรี (เจ้าภาพ)
สำนักงานการท่องเที่ยวและกีฬาจังหวัดระยอง และจังหวัดฉะเชิงเทรา (หน่วยดำเนินการร่วม)</t>
  </si>
  <si>
    <t>สำนักงานทรัพยากรทางทะเลและชายฝั่งที่ 1 สำนักงานทรัพยากรทางทะเลและชายฝั่งที่ 2 และศูนย์วิจัยทรัพยากรทางทะเลและชายฝั่งอ่าวไทยฝั่งตะวันออก</t>
  </si>
  <si>
    <t>สำนักงานพัฒนาสังคมและความมั่นคงของมนุษย์จังหวัดชลบุรี (เจ้าภาพ)
สำนักงานพัฒนาสังคมและความมั่นคงของมนุษย์ของมนุษย์จังหวัดระยอง และจังหวัดฉะเชิงเทรา (หน่วยดำเนินการร่วม)</t>
  </si>
  <si>
    <t>เจ้าภาพหลัก
1. สำนักงานศึกษาธิการภาค 8
2. สำนักงานศึกษาธิการจังหวัดฉะเชิงเทรา ชลบุรี และระยอง
3. สำนักงาน กศน. จังหวัดฉะเชิงเทรา ชลบุรี และระยอง
หน่วยดำเนินการร่วม
4. สำนักงานแรงงานจังหวัดฉะเชิงเทรา ชลบุรี และระยอง
5. สำนักงานพัฒนาสังคมและความมั่นคงของมนุษย์จังหวัดฉะเชิงเทรา ชลบุรี และระยอง</t>
  </si>
  <si>
    <t>มหาวิทยาลัยบูรพา (เจ้าภาพ)
สำนักงานพัฒนาชุมชนจังหวัดชลบุรี (หน่วยดำเนินการร่วม)</t>
  </si>
  <si>
    <t>มหาวิทยาลัยบูรพา</t>
  </si>
  <si>
    <t>สำนักงานการท่องเที่ยวและกีฬาจังหวัดระยอง ชลบุรี ฉะเชิงเทรา</t>
  </si>
  <si>
    <t>สำนักบริหารพื้นที่อนุรักษ์ที่ 2 
(ศรีราชา)</t>
  </si>
  <si>
    <t>หน่วยดำเนินการ</t>
  </si>
  <si>
    <t xml:space="preserve">ที่
</t>
  </si>
  <si>
    <t>โครงการที่ 3 การศึกษาวิจัยเพื่ออนุรักษ์ฟื้นฟู
และพัฒนาทรัพยากรธรรมชาติและสิ่งแวดล้อม</t>
  </si>
  <si>
    <r>
      <rPr>
        <b/>
        <sz val="16"/>
        <rFont val="TH SarabunPSK"/>
        <family val="2"/>
      </rPr>
      <t>ไม่เห็นควรสนับสนุน</t>
    </r>
    <r>
      <rPr>
        <sz val="16"/>
        <rFont val="TH SarabunPSK"/>
        <family val="2"/>
      </rPr>
      <t xml:space="preserve"> เนื่องจากไม่ชัดเจนในความเหมาะสมของการดำเนินโครงการ โดยไม่ได้แสดงให้เห็นถึงการเชื่อมโยงการเดินทางระหว่างจังหวัดภายในกลุ่ม ตอ.1 ที่ชัดเจน (ไม่ได้แสดงให้เห็นถึงจังหวัดที่ได้รับประโยชน์ ที่มากกว่า 1 จังหวัด)</t>
    </r>
  </si>
  <si>
    <r>
      <t xml:space="preserve">1. ถนนเดิมเป็นลูกรังหรือไม่ หรือเป็น </t>
    </r>
    <r>
      <rPr>
        <sz val="16"/>
        <color rgb="FFFF0000"/>
        <rFont val="TH SarabunPSK"/>
        <family val="2"/>
      </rPr>
      <t>Asphalt concrete เดิมแล้วปูทับ</t>
    </r>
    <r>
      <rPr>
        <sz val="16"/>
        <rFont val="TH SarabunPSK"/>
        <family val="2"/>
      </rPr>
      <t xml:space="preserve">
2. ไม่มีติดตั้งไฟฟ้าสองสว่างใช่หรือไม่
3. สอบถามความเชื่อมโยงระหว่างจังหวัด</t>
    </r>
  </si>
  <si>
    <r>
      <rPr>
        <b/>
        <sz val="16"/>
        <rFont val="TH SarabunPSK"/>
        <family val="2"/>
      </rPr>
      <t>เห็นควรสนับสนุน</t>
    </r>
    <r>
      <rPr>
        <sz val="16"/>
        <rFont val="TH SarabunPSK"/>
        <family val="2"/>
      </rPr>
      <t xml:space="preserve"> เนื่องจาก
เป็นการก่อสร้างประตูระบายน้ำ
เพื่อเพิ่มประสิทธิภาพ
การกระจายน้ำให้กับเกษตรกร
อย่างทั่วถึง ให้มีน้ำสำหรับการอุปโภคและบริโภคอย่างเพียงพอ และป้องกันและแก้ไขปัญหาภัยแล้ง </t>
    </r>
  </si>
  <si>
    <r>
      <rPr>
        <b/>
        <sz val="16"/>
        <rFont val="TH SarabunPSK"/>
        <family val="2"/>
      </rPr>
      <t xml:space="preserve">ไม่เห็นควรสนับสนุน </t>
    </r>
    <r>
      <rPr>
        <sz val="16"/>
        <rFont val="TH SarabunPSK"/>
        <family val="2"/>
      </rPr>
      <t>เนื่องจากไม่ชัดเจนในความเหมาะสมในการดำเนินโครงการ โดยไม่ได้แสดงเอกสารที่แสดงถึงการรับผิดชอบในการบริหารจัดการหรือดูแลบำรุงรักษาของ เทศบาลเมืองชลบุรี</t>
    </r>
  </si>
  <si>
    <t>โครงการที่ 1 พัฒนาโครงสร้างพื้นฐานและระบบโลจิสติกส์เชื่อมโยงเข้าสู่พื้นที่อุตสาหกรรมรองรับเขตพัฒนาพิเศษภาคตะวันออก</t>
  </si>
  <si>
    <t>โครงการที่ 2 พัฒนาและปรับปรุงเส้นทางคมนาคมเพื่อรองรับการขยายตัวด้านเศรษฐกิจและสังคม</t>
  </si>
  <si>
    <t>โครงการที่ 3 พัฒนานวัตกรรมและเทคโนโลยี เพื่อสร้างความสามารถในการแข่งขัน รองรับเขตพัฒนาพิเศษภาคตะวันออก และยกระดับสู่อุตสาหกรรม 4.0</t>
  </si>
  <si>
    <t xml:space="preserve"> โครงการที่ 4 พัฒนาศักยภาพและทักษะกำลังคน เพื่อรองรับการเติบโตของเขตพัฒนาพิเศษภาคตะวันออก</t>
  </si>
  <si>
    <t>พัฒนาคุณภาพชีวิตเด็ก เยาวชนและกลุ่มเปราะบางทางสังคมให้มีส่วนร่วมพัฒนาเศรษฐกิจของกลุ่มจังหวัดภาคตะวันออก 1</t>
  </si>
  <si>
    <t>ยกระดับแหล่งท่องเที่ยวอ่าวอัษฎางค์ (หาดถ้ำพัง) หมู่ที่ 3 ตำบลท่าเทววงษ์ อำเภอเกาะสีชัง จังหวัดชลบุรี</t>
  </si>
  <si>
    <t>บูรณาการปฏิบัติการป้องกันภัยและแก้ไขปัญหาช้างป่าภาคตะวันออก 1</t>
  </si>
  <si>
    <t>ป้องกันตลิ่งและเพิ่มพื้นที่สีเขียว คลองระบายน้ำสาย 3 ตำบลเชิงเนิน อำเภอเมือง จังหวัดระยอง</t>
  </si>
  <si>
    <t>บริหารจัดการขยะที่ส่งผลกระทบต่อป่าชายเลนและในทะเลแบบมีส่วนร่วมอย่างยั่งยืน
ในเขตพื้นที่กลุ่มจังหวัดภาคตะวันออก 1</t>
  </si>
  <si>
    <t>หมายเหตุ : สำนักงบประมาณปรับกิจกรรมที่ 3 ไปเป็น Y1 และได้รับการพิจารณาจัดสรรงบประมาณตามร่าง พรบ.66</t>
  </si>
  <si>
    <t xml:space="preserve">งบประมาณ
ที่ไม่เห็นควรสนับสนุน (บาท)
Y3
</t>
  </si>
  <si>
    <r>
      <rPr>
        <b/>
        <sz val="16"/>
        <rFont val="TH SarabunPSK"/>
        <family val="2"/>
      </rPr>
      <t>เห็นควรสนับสนุน</t>
    </r>
    <r>
      <rPr>
        <sz val="16"/>
        <rFont val="TH SarabunPSK"/>
        <family val="2"/>
      </rPr>
      <t xml:space="preserve"> เนื่องจากเป็นการปรับปรุงถนน พร้อมสิ่งอำนวยความสะดวก อาทิ ป้ายจราจร ไฟฟ้าส่องสว่าง ระยะทางยาว 7.43 กม. เพื่ออำนวยความสะดวกในการขนส่งสินค้าอุตสาหกรรม และสินค้าเกษตร รวมทั้งสร้างความปลอดภัยในการเดินทางให้กับประชาชนและนักท่องเที่ยว</t>
    </r>
  </si>
  <si>
    <r>
      <rPr>
        <b/>
        <sz val="16"/>
        <rFont val="TH SarabunPSK"/>
        <family val="2"/>
      </rPr>
      <t>เห็นควรสนับสนุน</t>
    </r>
    <r>
      <rPr>
        <sz val="16"/>
        <rFont val="TH SarabunPSK"/>
        <family val="2"/>
      </rPr>
      <t xml:space="preserve"> เนื่องจากเป็นการปรับปรุงถนน 
พร้อมสิ่งอำนวยความสะดวก อาทิ ป้ายจราจร ไฟฟ้าส่องสว่าง ระยะทางยาว 10.75 กม. เพื่ออำนวยความสะดวกในการขนส่งสินค้า
อุตสาหกรรมและสินค้าเกษตร รวมทั้งสร้างความปลอดภัยในการเดินทางให้กับประชาชนและนักท่องเที่ยว</t>
    </r>
  </si>
  <si>
    <r>
      <rPr>
        <b/>
        <sz val="16"/>
        <rFont val="TH SarabunPSK"/>
        <family val="2"/>
      </rPr>
      <t>เห็นควรสนับสนุน</t>
    </r>
    <r>
      <rPr>
        <sz val="16"/>
        <rFont val="TH SarabunPSK"/>
        <family val="2"/>
      </rPr>
      <t xml:space="preserve"> เนื่องจากเป็นการปรับปรุงถนน พร้อมสิ่งอำนวยความสะดวก อาทิ ป้ายจราจร ไฟฟ้าส่องสว่าง ระยะทางยาว 2.45 กม. เพื่ออำนวยความสะดวกในการขนส่งสินค้าอุตสาหกรรม และสินค้าเกษตร รวมทั้งสร้างความปลอดภัย ในการเดินทางให้กับประชาชนและนักท่องเที่ยว</t>
    </r>
  </si>
  <si>
    <r>
      <rPr>
        <b/>
        <sz val="16"/>
        <rFont val="TH SarabunPSK"/>
        <family val="2"/>
      </rPr>
      <t>เห็นควรสนับสนุน</t>
    </r>
    <r>
      <rPr>
        <sz val="16"/>
        <rFont val="TH SarabunPSK"/>
        <family val="2"/>
      </rPr>
      <t xml:space="preserve"> เนื่องจากเป็นการปรับปรุงถนน ระยะทางยาว 
2 กม. เพื่ออำนวยความสะดวกในการขนส่งสินค้าอุตสาหกรรม
และสินค้าเกษตร รวมทั้งสร้างความปลอดภัย ในการเดินทางให้กับประชาชน และนักท่องเที่ยว</t>
    </r>
  </si>
  <si>
    <r>
      <rPr>
        <b/>
        <sz val="16"/>
        <rFont val="TH SarabunPSK"/>
        <family val="2"/>
      </rPr>
      <t>เห็นควรสนับสนุน</t>
    </r>
    <r>
      <rPr>
        <sz val="16"/>
        <rFont val="TH SarabunPSK"/>
        <family val="2"/>
      </rPr>
      <t xml:space="preserve"> เนื่องจากเป็นการปรับปรุงถนน พร้อมสิ่งอำนวยความสะดวก อาทิ ป้ายจราจร ระยะทางยาว 3.5 กม. เพื่ออำนวยความสะดวกในการขนส่งสินค้าอุตสาหกรรมและสินค้าเกษตร รวมทั้งสร้างความปลอดภัยในการเดินทางให้กับประชาชน และนักท่องเที่ยว</t>
    </r>
  </si>
  <si>
    <r>
      <rPr>
        <b/>
        <sz val="16"/>
        <rFont val="TH SarabunPSK"/>
        <family val="2"/>
      </rPr>
      <t>เห็นควรสนับสนุน</t>
    </r>
    <r>
      <rPr>
        <sz val="16"/>
        <rFont val="TH SarabunPSK"/>
        <family val="2"/>
      </rPr>
      <t xml:space="preserve"> เนื่องจากเป็นการปรับปรุงถนน พร้อมสิ่งอำนวยความสะดวก อาทิ ป้ายจราจร ระยะทางยาว 2.4 กม. เพื่ออำนวยความสะดวกในการขนส่งสินค้าอุตสาหกรรมและสินค้าเกษตร รวมทั้งสร้างความปลอดภัยในการเดินทางให้กับประชาชน และนักท่องเที่ยว</t>
    </r>
  </si>
  <si>
    <r>
      <rPr>
        <b/>
        <sz val="16"/>
        <rFont val="TH SarabunPSK"/>
        <family val="2"/>
      </rPr>
      <t>เห็นควรสนับสนุน</t>
    </r>
    <r>
      <rPr>
        <sz val="16"/>
        <rFont val="TH SarabunPSK"/>
        <family val="2"/>
      </rPr>
      <t xml:space="preserve"> เนื่องจากเป็นการปรับปรุงขยายถนน พร้อมสิ่งอำนวยความสะดวก อาทิ ป้ายจราจร ไฟฟ้าส่องสว่าง ระยะทางยาว 5 กิโลเมตร เพื่ออำนวยความสะดวก ในการท่องเที่ยวและขนส่งสินค้าเกษตร รวมทั้งการเดินทางของประชาชนในพื้นที่</t>
    </r>
  </si>
  <si>
    <r>
      <rPr>
        <b/>
        <sz val="16"/>
        <rFont val="TH SarabunPSK"/>
        <family val="2"/>
      </rPr>
      <t>เห็นควรสนับสนุน</t>
    </r>
    <r>
      <rPr>
        <sz val="16"/>
        <rFont val="TH SarabunPSK"/>
        <family val="2"/>
      </rPr>
      <t xml:space="preserve"> เนื่องจากเป็นการปรับปรุงถนน พร้อมสิ่งอำนวยความสะดวก อาทิ ป้ายจราจร ระยะทางยาว 10 กม. เพื่ออำนวยความสะดวกในการขนส่งสินค้าอุตสาหกรรมและสินค้าเกษตร รวมทั้งสร้างความปลอดภัย ในการเดินทางให้กับประชาชน และนักท่องเที่ยว</t>
    </r>
  </si>
  <si>
    <t>พัฒนาปรับปรุงขยายผิวจราจรลาดยาง สาย รย.4038 แยกทางหลวงหมายเลข 3139 – บ้านมาบจันทร์ อำเภอเมือง จังหวัดระยอง</t>
  </si>
  <si>
    <r>
      <rPr>
        <b/>
        <sz val="16"/>
        <rFont val="TH SarabunPSK"/>
        <family val="2"/>
      </rPr>
      <t>เห็นควรสนับสนุน</t>
    </r>
    <r>
      <rPr>
        <sz val="16"/>
        <rFont val="TH SarabunPSK"/>
        <family val="2"/>
      </rPr>
      <t xml:space="preserve"> เนื่องจากเป็นการก่อสร้างสถานีสูบน้ำ
ด้วยไฟฟ้าพร้อมระบบส่งน้ำ เพื่อให้เกิดการบริหารจัดการน้ำ
ภายในกลุ่มจังหวัดภาคตะวันออก 1 เป็นไปอย่างมีประสิทธิภาพ 
ลดการสูญเสียน้ำ และมีน้ำใช้สำหรับการเกษตร อุตสาหกรรม และอุปโภคและบริโภค อย่างเพียงพอ</t>
    </r>
  </si>
  <si>
    <r>
      <rPr>
        <b/>
        <sz val="16"/>
        <rFont val="TH SarabunPSK"/>
        <family val="2"/>
      </rPr>
      <t>เห็นควรสนับสนุน</t>
    </r>
    <r>
      <rPr>
        <sz val="16"/>
        <rFont val="TH SarabunPSK"/>
        <family val="2"/>
      </rPr>
      <t xml:space="preserve"> เนื่องจากเป็นการปรับปรุงถนน พร้อมสิ่งอำนวยความสะดวก อาทิ ป้ายจราจร ไฟฟ้าส่องสว่าง ระยะทางยาว 7.19 กม. เพื่ออำนวยความสะดวกในการขนส่งสินค้าอุตสาหกรรมและสินค้าเกษตร รวมทั้ง สร้างความปลอดภัยในการเดินทางให้กับประชาชนและนักท่องเที่ยว</t>
    </r>
  </si>
  <si>
    <r>
      <rPr>
        <b/>
        <sz val="16"/>
        <rFont val="TH SarabunPSK"/>
        <family val="2"/>
      </rPr>
      <t>เห็นควรสนับสนุน</t>
    </r>
    <r>
      <rPr>
        <sz val="16"/>
        <rFont val="TH SarabunPSK"/>
        <family val="2"/>
      </rPr>
      <t xml:space="preserve"> เนื่องจากเป็นการปรับปรุงถนนพร้อมสิ่งอำนวยความสะดวก อาทิ ป้ายจราจร ระยะทาง 6.9 ก.ม. เพื่อส่งเสริมการท่องเที่ยว
ในจังหวัดชลบุรี รวมทั้งพื้นที่ในกลุ่มจังหวัดภาคตะวันออก 1 รวมทั้งอำนวยความสะดวกในการเดินทางของประชาชนในพื้นที่</t>
    </r>
  </si>
  <si>
    <r>
      <rPr>
        <b/>
        <sz val="16"/>
        <rFont val="TH SarabunPSK"/>
        <family val="2"/>
      </rPr>
      <t xml:space="preserve">เห็นควรสนับสนุน </t>
    </r>
    <r>
      <rPr>
        <sz val="16"/>
        <rFont val="TH SarabunPSK"/>
        <family val="2"/>
      </rPr>
      <t>เนื่องจากเป็นการก่อสร้างลานเอนกประสงค์ เพื่อส่งเสริมการท่องเที่ยวของกลุ่มจังหวัดภาคตะวันออก 1 รวมทั้งจังหวัดชลบุรี</t>
    </r>
  </si>
  <si>
    <r>
      <rPr>
        <b/>
        <sz val="16"/>
        <rFont val="TH SarabunPSK"/>
        <family val="2"/>
      </rPr>
      <t>ไม่เห็นควรสนับสนุน</t>
    </r>
    <r>
      <rPr>
        <sz val="16"/>
        <rFont val="TH SarabunPSK"/>
        <family val="2"/>
      </rPr>
      <t xml:space="preserve"> เนื่องจากไม่ชัดเจนในความเหมาะสม
ในการดำเนินโครงการ โดยไม่ได้แสดงเอกสารที่แสดงถึงการรับผิดชอบในการบริหารจัดการหรือดูแลบำรุงรักษาของเทศบาลตำบลบางพระ</t>
    </r>
  </si>
  <si>
    <r>
      <rPr>
        <b/>
        <sz val="16"/>
        <rFont val="TH SarabunPSK"/>
        <family val="2"/>
      </rPr>
      <t>เห็นควรสนับสนุน</t>
    </r>
    <r>
      <rPr>
        <sz val="16"/>
        <rFont val="TH SarabunPSK"/>
        <family val="2"/>
      </rPr>
      <t xml:space="preserve"> เนื่องจากเป็นการพัฒนาแหล่งท่องเที่ยวให้ได้มาตรฐาน ด้วยการก่อสร้างศูนย์บริหารนักท่องเที่ยว ศูนย์จำหน่ายอาหาร ก่อสร้างร้านค้าจำหน่ายสินค้า ก่อสร้างห้องอาบน้ำ-สุขา และก่อสร้างบ่อบำบัดน้ำเสีย ซึ่งสามารถเพิ่มจำนวนนักท่องเที่ยวและรายได้ให้กับจังหวัดชลบุรี
รวมทั้งจังหวัดอื่นๆ ในพื้นที่กลุ่มจังหวัดภาคตะวันออก 1</t>
    </r>
  </si>
  <si>
    <r>
      <rPr>
        <b/>
        <sz val="16"/>
        <rFont val="TH SarabunPSK"/>
        <family val="2"/>
      </rPr>
      <t xml:space="preserve">เห็นควรสนับสนุน </t>
    </r>
    <r>
      <rPr>
        <sz val="16"/>
        <rFont val="TH SarabunPSK"/>
        <family val="2"/>
      </rPr>
      <t>เนื่องจากเป็นการติดตั้งระบบกล้องวงจรปิด (CCTV) บริเวณถนน 36 เพื่อเสริมสร้างความปลอดภัยในชีวิตและทรัพย์สินของประชาชนที่เดินทางเชื่อมโยงระหว่างจังหวัดภายในกลุ่มจังหวัดภาคตะวันออก 1 (ทั้งนี้ยังไม่ได้แสดงหนังสือการได้รับอนุญาตให้ดำเนินโครงการจากคณะกรรมการบริหารการบูรณาการแผนและระบบกล้องโทรทัศน์วงจรปิด (CCTV) ทั่วประเทศ)</t>
    </r>
  </si>
  <si>
    <r>
      <rPr>
        <b/>
        <sz val="16"/>
        <rFont val="TH SarabunPSK"/>
        <family val="2"/>
      </rPr>
      <t xml:space="preserve">เห็นควรสนับสนุน </t>
    </r>
    <r>
      <rPr>
        <sz val="16"/>
        <rFont val="TH SarabunPSK"/>
        <family val="2"/>
      </rPr>
      <t>เนื่องจากเป็นการติดตั้งระบบกล้องวงจรปิด (CCTV) บริเวณถนนสุขุมวิท 3 เพื่อเสริมสร้างความปลอดภัยในชีวิต และทรัพย์สินของประชาชนที่เดินทางเชื่อมโยงระหว่างจังหวัดภายในกลุ่มจังหวัดภาคตะวันออก 1 (ทั้งนี้ยังไม่ได้แสดงหนังสือการได้รับอนุญาตให้ดำเนินโครงการจากคณะกรรมการบริหารการบูรณาการแผนและระบบกล้องโทรทัศน์วงจรปิด (CCTV) ทั่วประเทศ)</t>
    </r>
  </si>
  <si>
    <r>
      <rPr>
        <b/>
        <sz val="16"/>
        <rFont val="TH SarabunPSK"/>
        <family val="2"/>
      </rPr>
      <t>เห็นควรสนับสนุน</t>
    </r>
    <r>
      <rPr>
        <sz val="16"/>
        <rFont val="TH SarabunPSK"/>
        <family val="2"/>
      </rPr>
      <t xml:space="preserve"> เฉพาะกิจกรรมเทศกาลสีสันแห่ง EEC เนื่องจาก
เป็นการจัดงานส่งเสริมการท่องเที่ยว อาทิ การจัดจำหน่ายสินค้า การส่งเสริมการขายบนแพลตฟอร์ม ซึ่งเป็นการเพิ่มรายได้ให้กับผู้ประกอบการ SMEs และประชาสัมพันธ์การท่องเที่ยวของกลุ่มจังหวัดภาคตะวันออก 1 
รวมทั้งจังหวัดชลบุรี </t>
    </r>
    <r>
      <rPr>
        <b/>
        <sz val="16"/>
        <rFont val="TH SarabunPSK"/>
        <family val="2"/>
      </rPr>
      <t xml:space="preserve">แต่อย่างไรก็ตาม ไม่เห็นควรสนับสนุน </t>
    </r>
    <r>
      <rPr>
        <sz val="16"/>
        <rFont val="TH SarabunPSK"/>
        <family val="2"/>
      </rPr>
      <t>กิจกรรมมหกรรมกีฬา เพื่อการท่องเที่ยว เนื่องจาก ไม่ชัดเจนในความเหมาะสมของการดำเนินกิจกรรม อีกทั้งงบประมาณส่วนใหญ่เป็นการจ่ายเงินรางวัล</t>
    </r>
  </si>
  <si>
    <r>
      <rPr>
        <b/>
        <sz val="16"/>
        <rFont val="TH SarabunPSK"/>
        <family val="2"/>
      </rPr>
      <t>เห็นควรสนับสนุน</t>
    </r>
    <r>
      <rPr>
        <sz val="16"/>
        <rFont val="TH SarabunPSK"/>
        <family val="2"/>
      </rPr>
      <t xml:space="preserve"> เนื่องจากเป็นการพัฒนาผลิตภัณฑ์ชุมชนของทั้ง 3 จังหวัดของกลุ่มจังหวัด ภาคตะวันออก 1 รวมทั้ง ประชาสัมพันธ์เพื่อสร้างภาพลักษณ์และความเชื่อมั่นของสินค้า รวมทั้งเพิ่มช่องทางการจำหน่ายสินค้า ซึ่งจะส่งผลให้วิสาหกิจชุมชนหรือกลุ่มหรือชมรมด้านการท่องที่ยวของทั้ง 3 จังหวัด มีสินค้าที่มีคุณภาพและมีรายได้เพิ่มขึ้น</t>
    </r>
  </si>
  <si>
    <r>
      <rPr>
        <b/>
        <sz val="16"/>
        <rFont val="TH SarabunPSK"/>
        <family val="2"/>
      </rPr>
      <t xml:space="preserve">เห็นควรสนับสนุน </t>
    </r>
    <r>
      <rPr>
        <sz val="16"/>
        <rFont val="TH SarabunPSK"/>
        <family val="2"/>
      </rPr>
      <t>เนื่องจากเป็นการปรับปรุงระบบการกระจายน้ำ พร้อมทั้งพัฒนาพื้นที่บริเวณริมคลอง เพื่อเพิ่มประสิทธิภาพการกระจายน้ำให้กับเกษตรกรในพื้นที่จังหวัดระยอง รวมทั้งจังหวัดชลบุรี อีกทั้งเพิ่มพื้นที่สีเขียวสำหรับพักผ่อนหย่อนใจ เพื่อเสริมสร้างคุณภาพชีวิตให้กับประชาชน</t>
    </r>
  </si>
  <si>
    <r>
      <rPr>
        <b/>
        <sz val="16"/>
        <rFont val="TH SarabunPSK"/>
        <family val="2"/>
      </rPr>
      <t>เห็นควรสนับสนุน</t>
    </r>
    <r>
      <rPr>
        <sz val="16"/>
        <rFont val="TH SarabunPSK"/>
        <family val="2"/>
      </rPr>
      <t xml:space="preserve"> เนื่องจากเป็นการดำเนินการติดตั้งทุ่นกันขยะเข้า
และออกฯ บริเวณแนวป่าชายเลน และปากแม่น้ำและคลอง และจัดกิจกรรมดำน้ำเก็บขยะในแนวปะการังธรรมชาติและปะการังเทียมแบบมีส่วนร่วม เพื่อป้องกันการเกิดและแก้ไขปัญหาขยะทะเล ซึ่งสามารถลดผลกระทบต่อสิ่งแวดล้อมทางทะเลและชายฝั่ง รวมทั้งลดการปนเปื้อนของ Microplastic ในสัตว์น้ำ </t>
    </r>
  </si>
  <si>
    <r>
      <rPr>
        <b/>
        <sz val="16"/>
        <rFont val="TH SarabunPSK"/>
        <family val="2"/>
      </rPr>
      <t xml:space="preserve">เห็นควรสนับสนุน </t>
    </r>
    <r>
      <rPr>
        <sz val="16"/>
        <rFont val="TH SarabunPSK"/>
        <family val="2"/>
      </rPr>
      <t xml:space="preserve">เฉพาะกิจกรรมที่ 3  "พัฒนาทักษะอาชีพให้กับ
กลุ่มเปราะบาง เพื่อสร้างโอกาสในการมีงานทำเพิ่มมากขึ้น" เนื่องจากเป็นการฝึกอบรมให้กับผู้เปราะบางของทั้ง 3 จังหวัดของกลุ่มจังหวัดภาคตะวันออก 1 อาทิ การทำเครื่องดื่มและขนมฯ การปลูกผักไฮโดรโปนิกส์ฯ 
อาหารจานเดียวฯ เพื่อสร้างรายได้และยกระดับคุณภาพชีวิต ให้กับกลุ่มเปราะบาง </t>
    </r>
    <r>
      <rPr>
        <b/>
        <sz val="16"/>
        <rFont val="TH SarabunPSK"/>
        <family val="2"/>
      </rPr>
      <t>อย่างไรก็ตามไม่เห็นควรสนับสนุน</t>
    </r>
    <r>
      <rPr>
        <sz val="16"/>
        <rFont val="TH SarabunPSK"/>
        <family val="2"/>
      </rPr>
      <t xml:space="preserve"> กิจกรรมที่ 1 " พัฒนาทักษะการดูแลเด็กให้ผู้ปกครองกลุ่มเปราะบาง" และ กิจกรรมที่ 2 " ฝึกทักษะเยาวชนเพื่อให้บริการนักท่องเที่ยวผู้สูงอายุและคนพิการแบบ New Normal" เนื่องจากไม่ชัดเจนในความเหมาะสมและคุ้มค่าสำหรับดำเนินกิจกรรม โดยไม่ชัดเจนในการนำความรู้ที่ได้รับจากการฝึอบรมไปใช้ประโยชน์ </t>
    </r>
  </si>
  <si>
    <r>
      <rPr>
        <b/>
        <sz val="16"/>
        <color rgb="FFFF0000"/>
        <rFont val="TH SarabunPSK"/>
        <family val="2"/>
      </rPr>
      <t>ไม่เห็นควรสนับสนุน</t>
    </r>
    <r>
      <rPr>
        <sz val="16"/>
        <color rgb="FFFF0000"/>
        <rFont val="TH SarabunPSK"/>
        <family val="2"/>
      </rPr>
      <t xml:space="preserve"> เนื่องจากไม่ชัดเจนในความเหมาะสม
ของการดำเนินโครงการ โดยไม่ได้แสดงให้เห็นถึงการเชื่อมโยงการเดินทางระหว่างจังหวัดภายในกลุ่มจังหวัดภาคตะวันออก 1  ที่ชัดเจน (ไม่ได้แสดงให้เห็นถึงจังหวัดที่ได้รับประโยชน์ ที่มากกว่า 1 จังหวัด)</t>
    </r>
  </si>
  <si>
    <r>
      <rPr>
        <b/>
        <sz val="16"/>
        <color rgb="FFFF0000"/>
        <rFont val="TH SarabunPSK"/>
        <family val="2"/>
      </rPr>
      <t xml:space="preserve">ไม่เห็นควรสนับสนุน </t>
    </r>
    <r>
      <rPr>
        <sz val="16"/>
        <color rgb="FFFF0000"/>
        <rFont val="TH SarabunPSK"/>
        <family val="2"/>
      </rPr>
      <t>เนื่องจากไม่ชัดเจนในความเหมาะสมและคุ้มค่าของการดำเนินโครงการ โดยไม่ได้แสดงให้เห็นถึงกลุ่มเป้าหมาย รวมทั้งการนำความรู้หรือสิ่งที่ได้รับจากการดำเนินโครงการไปใช้ประโยชน์อย่างชัดเจน</t>
    </r>
  </si>
  <si>
    <r>
      <rPr>
        <b/>
        <sz val="16"/>
        <color rgb="FFFF0000"/>
        <rFont val="TH SarabunPSK"/>
        <family val="2"/>
      </rPr>
      <t xml:space="preserve">ไม่เห็นควรสนับสนุน </t>
    </r>
    <r>
      <rPr>
        <sz val="16"/>
        <color rgb="FFFF0000"/>
        <rFont val="TH SarabunPSK"/>
        <family val="2"/>
      </rPr>
      <t>เนื่องจาก ไม่ชัดเจนในความเหมาะสมและคุ้มค่าของการดำเนินโครงการ โดยไม่ได้แสดงให้เห็นถึงกลุ่มเป้าหมาย รวมทั้งการนำความรู้หรือสิ่งที่ได้รับจากการดำเนินโครงการไปใช้ประโยชน์อย่างชัดเจน</t>
    </r>
  </si>
  <si>
    <r>
      <rPr>
        <b/>
        <sz val="16"/>
        <color rgb="FFFF0000"/>
        <rFont val="TH SarabunPSK"/>
        <family val="2"/>
      </rPr>
      <t>ไม่เห็นควรสนับสนุน</t>
    </r>
    <r>
      <rPr>
        <sz val="16"/>
        <color rgb="FFFF0000"/>
        <rFont val="TH SarabunPSK"/>
        <family val="2"/>
      </rPr>
      <t xml:space="preserve"> เนื่องจากหน่วยดำเนินการเป็นมหาวิทยาลัย 
ซึ่งควรใช้งบประมาณจากแหล่งอื่น</t>
    </r>
  </si>
  <si>
    <r>
      <rPr>
        <b/>
        <sz val="16"/>
        <color rgb="FFFF0000"/>
        <rFont val="TH SarabunPSK"/>
        <family val="2"/>
      </rPr>
      <t>ไม่เห็นควรสนับสนุน</t>
    </r>
    <r>
      <rPr>
        <sz val="16"/>
        <color rgb="FFFF0000"/>
        <rFont val="TH SarabunPSK"/>
        <family val="2"/>
      </rPr>
      <t xml:space="preserve"> เนื่องจากกิจกรรมการดำเนินงานมุ่งเน้นการพัฒนาศักยภาพครู/อาจารย์ และหลักสูตรการฝึกอบรม 
อาทิ ร่างหลักสูตรการฝึกอบรมครูจัดทำฐานข้อมูลหลักสูตร 
ฝึกอบรมหลักสูตรฝึกอบรมครู ซึ่งมีลักษณะเป็นภารกิจปกติของมหาวิทยาลัย และควรใช้งบประมาณปกติของหน่วยงาน(มหาวิทยาลัยราชภัฏราชนครินทร์)</t>
    </r>
  </si>
  <si>
    <r>
      <rPr>
        <b/>
        <sz val="16"/>
        <color rgb="FFFF0000"/>
        <rFont val="TH SarabunPSK"/>
        <family val="2"/>
      </rPr>
      <t>ไม่เห็นควรสนับสนุน</t>
    </r>
    <r>
      <rPr>
        <sz val="16"/>
        <color rgb="FFFF0000"/>
        <rFont val="TH SarabunPSK"/>
        <family val="2"/>
      </rPr>
      <t xml:space="preserve"> เนื่องจากไม่ชัดเจนในความเหมาะสม 
ความพร้อม และความคุ้มค่าของการดำเนินโครงการกิจกรรมโครงการประกอบด้วย หลายกิจกรรม ซึ่งกิจกรรมส่วนใหญ่ มีรายละเอียดการดำเนินงานที่ไม่ชัดเจน อาทิ การส่งเสริมการใช้ปุ๋ยเติมอากาศ หรือการใช้แหนแดงในการผลิตพืชอาหารปลอดภัย การจัดงานแสดงสินค้า อีกทั้ง
มีการดำเนินกิจกรรมก่อสร้างโรงเรือนปุ๋ยหมักเติมอากาศ ซึ่งไม่ได้แสดงรายละเอียดของการก่อสร้างที่ชัดเจน</t>
    </r>
  </si>
  <si>
    <r>
      <rPr>
        <b/>
        <sz val="16"/>
        <color rgb="FFFF0000"/>
        <rFont val="TH SarabunPSK"/>
        <family val="2"/>
      </rPr>
      <t xml:space="preserve">ไม่เห็นควรสนับสนุน </t>
    </r>
    <r>
      <rPr>
        <sz val="16"/>
        <color rgb="FFFF0000"/>
        <rFont val="TH SarabunPSK"/>
        <family val="2"/>
      </rPr>
      <t>เนื่องจากหน่วยดำเนินการเป็นมหาวิทยาลัย ซึ่งควรใช้งบประมาณจากแหล่งอื่น</t>
    </r>
  </si>
  <si>
    <r>
      <rPr>
        <b/>
        <sz val="16"/>
        <color rgb="FFFF0000"/>
        <rFont val="TH SarabunPSK"/>
        <family val="2"/>
      </rPr>
      <t xml:space="preserve">ไม่เห็นควรสนับสนุน </t>
    </r>
    <r>
      <rPr>
        <sz val="16"/>
        <color rgb="FFFF0000"/>
        <rFont val="TH SarabunPSK"/>
        <family val="2"/>
      </rPr>
      <t>เนื่องจากไม่ชัดเจนในความเหมาะสม
และความพร้อมของการดำเนินโครงการ โดยไม่ได้แสดงให้เห็นถึงพื้นที่ดำเนินการที่ชัดเจน (กลุ่มวิสาหกิจอะไร และในจังหวัดอะไร) รวมทั้งมีการเช่าครุภัณฑ์ อาทิ ตู้เย็น ซึ่งไม่ชัดเจนในสถานที่ติดตั้ง นอกจากนี้ไม่ชัดเจน
ในความยั่งยืนของการดำเนินโครงการ ขณะที่หน่วยดำเนินการ เป็นมหาวิทยาลัย ซึ่งควรใช้งบประมาณจากแหล่งอื่น</t>
    </r>
  </si>
  <si>
    <t>1 เป็นการใช้เทคโนโลยีในการบริหารจัดการ logistic สินค้าชุมชน เช่น ผัก ผลไม้ สินค้าอื่นๆ  (คล้ายๆ ศูนย์กระจายสินค้าชุมชน) เพื่อลดต้นทุนในการขนส่งสินค้าและเพิ่มขีดความสามารถในการแข่งขันให้กับชุมชน
2. หน่วยงานหลัก ควรเป็นส่วนราชการ อาทิ พัฒนาชุมชน หรือ เกษตร โดย ม. ควรเป็นหน่วยงานร่วม
3. ศูนย์กระจายสินค้าชุมชนอยู่ที่ใหน
4. การบริหารจัดการระบบ หน่วยงานใดจะเป็นคนดูแล</t>
  </si>
  <si>
    <r>
      <rPr>
        <b/>
        <sz val="16"/>
        <color rgb="FFFF0000"/>
        <rFont val="TH SarabunPSK"/>
        <family val="2"/>
      </rPr>
      <t>ไม่เห็นควรสนับสนุน</t>
    </r>
    <r>
      <rPr>
        <sz val="16"/>
        <color rgb="FFFF0000"/>
        <rFont val="TH SarabunPSK"/>
        <family val="2"/>
      </rPr>
      <t xml:space="preserve"> เนื่องจากหน่วยดำเนินการเป็นมหาวิทยาลัย และกิจกรรมการดำเนินงานเป็นการก่อสร้างอาคารและจัดซื้อครุภัณฑ์ อาทิ โต๊ะ เครื่องวิเคราะห์องค์ประกอบโภชนาการอาหาร ให้กับมหาวิทยาลัย ซึ่งควรใช้งบปกติของหน่วยงาน</t>
    </r>
  </si>
  <si>
    <r>
      <rPr>
        <b/>
        <sz val="16"/>
        <color rgb="FFFF0000"/>
        <rFont val="TH SarabunPSK"/>
        <family val="2"/>
      </rPr>
      <t>ไม่เห็นควรสนับสนุน</t>
    </r>
    <r>
      <rPr>
        <sz val="16"/>
        <color rgb="FFFF0000"/>
        <rFont val="TH SarabunPSK"/>
        <family val="2"/>
      </rPr>
      <t xml:space="preserve"> เนื่องจากไม่ชัดเจนในความเหมาะสมของ
การดำเนินโครงการ โดยหน่วยดำเนินงานเป็นมหาวิทยาลัย (ม.ราชภัฎราชนครินทร์) ซึ่งควรใช้งบประมาณจากแหล่งอื่น</t>
    </r>
  </si>
  <si>
    <t>สอบถาม
1. ม.เป็นหน่วยดำเนินงาน ซึ่งสามารถเปลี่ยนเป็นหน่วยร่วมได้หรือไม่ โดยให้ส่วนราชการ อาทิ สนง. การท่องเที่ยวและกีฬาเป็นหน่วยงานหลัก
2. เป็นการอบรม เพื่อพัฒนาบุคลากรด้านการท่องเที่ยว
3. กิจกรรม ได้แก่ อบรมการนวดแผนไทย และสอนภาษาอังกฤษ จัดทำฐานข้อมูลบุคลากร 
4. วิธีการคัดเลือกผู้เข้ารับการอบรม และหลังจากอบรมเสร็จจะมีการติดตามอย่างไร
5. การทำฐานข้อมูลจะครอบคลุมทั้ง 3 จังหวัดหรือไม่ หมายถึงครอบคลุมบุคลกรที่เกี่ยวกับการนวดแผนไทยของทั้งจังหวัด ของ 3 จังหวัดหรือไม่ และจะมีการ update ข้อมูลของฐานข้อมูลอย่างไร
6. ผู้เข้ารับการอบรม 80 คน</t>
  </si>
  <si>
    <r>
      <rPr>
        <b/>
        <sz val="16"/>
        <color rgb="FFFF0000"/>
        <rFont val="TH SarabunPSK"/>
        <family val="2"/>
      </rPr>
      <t>ไม่เห็นควรสนับสนุน</t>
    </r>
    <r>
      <rPr>
        <sz val="16"/>
        <color rgb="FFFF0000"/>
        <rFont val="TH SarabunPSK"/>
        <family val="2"/>
      </rPr>
      <t xml:space="preserve"> เนื่องจากไม่ชัดเจนในความเหมาะสมและความพร้อมในการดำเนินโครงการ โดยไม่ได้แสดงเอกสาร ปร.4/5 และแบบรูปรายการ
ก่อสร้างเพนียดป้องกันช้างป่า </t>
    </r>
  </si>
  <si>
    <r>
      <rPr>
        <b/>
        <sz val="16"/>
        <color rgb="FFFF0000"/>
        <rFont val="TH SarabunPSK"/>
        <family val="2"/>
      </rPr>
      <t>เห็นควรสนับสนุน</t>
    </r>
    <r>
      <rPr>
        <sz val="16"/>
        <color rgb="FFFF0000"/>
        <rFont val="TH SarabunPSK"/>
        <family val="2"/>
      </rPr>
      <t xml:space="preserve"> เนื่องจากเป็นการก่อสร้างรั้วกันช้าง และขุดแหล่งน้ำ เพื่อป้องกันไม่ให้ช้างป่าออกนอกพื้นที่ป่า และลดผลกระทบที่จะเกิดขึ้นกับประชาชนและทรัพย์สิน </t>
    </r>
    <r>
      <rPr>
        <b/>
        <sz val="16"/>
        <color rgb="FFFF0000"/>
        <rFont val="TH SarabunPSK"/>
        <family val="2"/>
      </rPr>
      <t>(ประสานเพิ่มเติมในส่วน ปร4/5 ในจังหวัดฉะเชิงเทรา)</t>
    </r>
  </si>
  <si>
    <r>
      <rPr>
        <b/>
        <sz val="16"/>
        <color rgb="FFFF0000"/>
        <rFont val="TH SarabunPSK"/>
        <family val="2"/>
      </rPr>
      <t xml:space="preserve">ไม่เห็นควรสนับสนุน </t>
    </r>
    <r>
      <rPr>
        <sz val="16"/>
        <color rgb="FFFF0000"/>
        <rFont val="TH SarabunPSK"/>
        <family val="2"/>
      </rPr>
      <t xml:space="preserve">เนื่องจากหน่วยดำเนินการเป็นมหาวิทยาลัย อีกทั้งกิจกรรมการดำเนินงานมีลักษณะเป็นการศึกษาวิจัย 
ซึ่งควรใช้งบประมาณจากแหล่งอื่น </t>
    </r>
  </si>
  <si>
    <r>
      <rPr>
        <b/>
        <sz val="16"/>
        <color rgb="FFFF0000"/>
        <rFont val="TH SarabunPSK"/>
        <family val="2"/>
      </rPr>
      <t xml:space="preserve">ไม่เห็นควรสนับสนุน </t>
    </r>
    <r>
      <rPr>
        <sz val="16"/>
        <color rgb="FFFF0000"/>
        <rFont val="TH SarabunPSK"/>
        <family val="2"/>
      </rPr>
      <t xml:space="preserve">เนื่องจากหน่วยดำเนินการเป็นมหาวิทยาลัย 
อีกทั้งกิจกรรมการดำเนินงานมีลักษณะเป็นการศึกษาวิจัย ซึ่งควรใช้งบประมาณจากแหล่งอื่น </t>
    </r>
  </si>
  <si>
    <r>
      <rPr>
        <b/>
        <sz val="16"/>
        <color rgb="FFFF0000"/>
        <rFont val="TH SarabunPSK"/>
        <family val="2"/>
      </rPr>
      <t>ไม่เห็นควรสนับสนุน</t>
    </r>
    <r>
      <rPr>
        <sz val="16"/>
        <color rgb="FFFF0000"/>
        <rFont val="TH SarabunPSK"/>
        <family val="2"/>
      </rPr>
      <t xml:space="preserve"> เนื่องจากไม่ชัดเจนในความเหมาะสมสำหรับดำเนินโครงการ โดยไม่ชัดเจนในหลักสูตรการฝึกอบรมว่าประกอบด้วยหลักสูตรอะไรและไม่มีรายละเอียดการฝึกอบรมที่ชัดเจน อีกทั้งไม่ชัดเจนในการคัดเลือกกลุ่มผู้เข้ารับการอบรม เนื่องจากการฝึกอบรมเป็นการดำเนินการผ่านระบบ Zoom ซึ่งผู้สูงอายุบางคนอาจจะไม่สะดวกในการใช้ระบบดังกล่าว</t>
    </r>
  </si>
  <si>
    <r>
      <rPr>
        <b/>
        <sz val="16"/>
        <color rgb="FFFF0000"/>
        <rFont val="TH SarabunPSK"/>
        <family val="2"/>
      </rPr>
      <t xml:space="preserve">ไม่เห็นควรสนับสนุน </t>
    </r>
    <r>
      <rPr>
        <sz val="16"/>
        <color rgb="FFFF0000"/>
        <rFont val="TH SarabunPSK"/>
        <family val="2"/>
      </rPr>
      <t xml:space="preserve">เนื่องจากหน่วยดำเนินการเป็นมหาวิทยาลัย ซึ่งควรใช้งบประมาณจากแหล่งอื่น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</si>
</sst>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43" formatCode="_-* #,##0.00_-;\-* #,##0.00_-;_-* &quot;-&quot;??_-;_-@_-"/>
    <numFmt numFmtId="187" formatCode="_-* #,##0_-;\-* #,##0_-;_-* &quot;-&quot;??_-;_-@_-"/>
    <numFmt numFmtId="188" formatCode="#,##0_ ;\-#,##0\ "/>
  </numFmts>
  <fonts count="38" x14ac:knownFonts="1">
    <font>
      <sz val="11"/>
      <color theme="1"/>
      <name val="Tahoma"/>
      <family val="2"/>
      <charset val="222"/>
      <scheme val="minor"/>
    </font>
    <font>
      <sz val="10"/>
      <name val="Arial"/>
      <family val="2"/>
    </font>
    <font>
      <sz val="11"/>
      <color indexed="8"/>
      <name val="Tahoma"/>
      <family val="2"/>
      <charset val="222"/>
    </font>
    <font>
      <sz val="9"/>
      <name val="Tahoma"/>
      <family val="2"/>
    </font>
    <font>
      <sz val="11"/>
      <color theme="1"/>
      <name val="Tahoma"/>
      <family val="2"/>
      <charset val="222"/>
      <scheme val="minor"/>
    </font>
    <font>
      <sz val="9"/>
      <color rgb="FFFF0000"/>
      <name val="Tahoma"/>
      <family val="2"/>
    </font>
    <font>
      <sz val="9"/>
      <color theme="1"/>
      <name val="Tahoma"/>
      <family val="2"/>
    </font>
    <font>
      <sz val="9"/>
      <color theme="3" tint="0.59996337778862885"/>
      <name val="Tahoma"/>
      <family val="2"/>
    </font>
    <font>
      <sz val="9"/>
      <color theme="3" tint="0.39997558519241921"/>
      <name val="Tahoma"/>
      <family val="2"/>
    </font>
    <font>
      <b/>
      <sz val="16"/>
      <name val="TH SarabunPSK"/>
      <family val="2"/>
    </font>
    <font>
      <b/>
      <sz val="14"/>
      <color indexed="8"/>
      <name val="TH SarabunPSK"/>
      <family val="2"/>
    </font>
    <font>
      <b/>
      <sz val="16"/>
      <color indexed="8"/>
      <name val="TH SarabunPSK"/>
      <family val="2"/>
    </font>
    <font>
      <b/>
      <sz val="14"/>
      <name val="TH SarabunPSK"/>
      <family val="2"/>
    </font>
    <font>
      <b/>
      <sz val="18"/>
      <color indexed="8"/>
      <name val="TH SarabunPSK"/>
      <family val="2"/>
    </font>
    <font>
      <sz val="16"/>
      <name val="TH SarabunPSK"/>
      <family val="2"/>
    </font>
    <font>
      <sz val="16"/>
      <color rgb="FFFF0000"/>
      <name val="TH SarabunPSK"/>
      <family val="2"/>
    </font>
    <font>
      <sz val="16"/>
      <color theme="1"/>
      <name val="TH SarabunPSK"/>
      <family val="2"/>
    </font>
    <font>
      <sz val="14"/>
      <color theme="1"/>
      <name val="TH SarabunPSK"/>
      <family val="2"/>
    </font>
    <font>
      <sz val="9"/>
      <name val="TH SarabunPSK"/>
      <family val="2"/>
    </font>
    <font>
      <sz val="14"/>
      <name val="TH SarabunPSK"/>
      <family val="2"/>
    </font>
    <font>
      <sz val="9"/>
      <color rgb="FFFF0000"/>
      <name val="TH SarabunPSK"/>
      <family val="2"/>
    </font>
    <font>
      <sz val="9"/>
      <color theme="1"/>
      <name val="TH SarabunPSK"/>
      <family val="2"/>
    </font>
    <font>
      <sz val="9"/>
      <color theme="3" tint="0.59996337778862885"/>
      <name val="TH SarabunPSK"/>
      <family val="2"/>
    </font>
    <font>
      <sz val="16"/>
      <color theme="3" tint="0.59996337778862885"/>
      <name val="TH SarabunPSK"/>
      <family val="2"/>
    </font>
    <font>
      <sz val="16"/>
      <color theme="3" tint="0.39997558519241921"/>
      <name val="TH SarabunPSK"/>
      <family val="2"/>
    </font>
    <font>
      <sz val="9"/>
      <color theme="3" tint="0.39997558519241921"/>
      <name val="TH SarabunPSK"/>
      <family val="2"/>
    </font>
    <font>
      <sz val="16"/>
      <color indexed="8"/>
      <name val="TH SarabunPSK"/>
      <family val="2"/>
    </font>
    <font>
      <b/>
      <sz val="14"/>
      <color theme="1"/>
      <name val="TH SarabunPSK"/>
      <family val="2"/>
    </font>
    <font>
      <b/>
      <sz val="16"/>
      <color theme="1"/>
      <name val="TH SarabunPSK"/>
      <family val="2"/>
    </font>
    <font>
      <sz val="14"/>
      <name val="Tahoma"/>
      <family val="2"/>
      <charset val="222"/>
    </font>
    <font>
      <b/>
      <sz val="48"/>
      <name val="Tahoma"/>
      <family val="2"/>
      <charset val="222"/>
    </font>
    <font>
      <sz val="16"/>
      <color theme="0" tint="-0.249977111117893"/>
      <name val="TH SarabunPSK"/>
      <family val="2"/>
    </font>
    <font>
      <sz val="11"/>
      <color theme="0" tint="-0.249977111117893"/>
      <name val="Tahoma"/>
      <family val="2"/>
      <charset val="222"/>
      <scheme val="minor"/>
    </font>
    <font>
      <b/>
      <sz val="11"/>
      <color theme="1"/>
      <name val="Tahoma"/>
      <family val="2"/>
      <scheme val="minor"/>
    </font>
    <font>
      <sz val="16"/>
      <color rgb="FF000000"/>
      <name val="TH SarabunPSK"/>
      <family val="2"/>
    </font>
    <font>
      <sz val="16"/>
      <color theme="1" tint="4.9989318521683403E-2"/>
      <name val="TH SarabunPSK"/>
      <family val="2"/>
    </font>
    <font>
      <b/>
      <sz val="16"/>
      <color rgb="FFFF0000"/>
      <name val="TH SarabunPSK"/>
      <family val="2"/>
    </font>
    <font>
      <sz val="18"/>
      <color rgb="FFFF0000"/>
      <name val="TH SarabunPSK"/>
      <family val="2"/>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92D050"/>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s>
  <cellStyleXfs count="14">
    <xf numFmtId="0" fontId="0" fillId="0" borderId="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43" fontId="4" fillId="0" borderId="0" applyFont="0" applyFill="0" applyBorder="0" applyAlignment="0" applyProtection="0"/>
  </cellStyleXfs>
  <cellXfs count="291">
    <xf numFmtId="0" fontId="0" fillId="0" borderId="0" xfId="0"/>
    <xf numFmtId="0" fontId="8" fillId="0" borderId="0" xfId="0" applyFont="1" applyAlignment="1">
      <alignment vertical="center"/>
    </xf>
    <xf numFmtId="0" fontId="7" fillId="0" borderId="0" xfId="0" applyFont="1" applyAlignment="1">
      <alignment vertical="center"/>
    </xf>
    <xf numFmtId="0" fontId="8" fillId="2" borderId="0" xfId="0" applyFont="1" applyFill="1" applyBorder="1" applyAlignment="1">
      <alignment horizontal="left" vertical="center" wrapText="1"/>
    </xf>
    <xf numFmtId="0" fontId="8" fillId="0" borderId="0" xfId="0" applyFont="1" applyBorder="1" applyAlignment="1">
      <alignment horizontal="left" vertical="center" wrapText="1"/>
    </xf>
    <xf numFmtId="0" fontId="6" fillId="0" borderId="0" xfId="0" applyFont="1" applyAlignment="1">
      <alignment vertical="center"/>
    </xf>
    <xf numFmtId="0" fontId="5" fillId="0" borderId="0" xfId="0" applyFont="1" applyBorder="1" applyAlignment="1">
      <alignment vertical="center"/>
    </xf>
    <xf numFmtId="0" fontId="5" fillId="0" borderId="0" xfId="0" applyFont="1" applyAlignment="1">
      <alignment vertical="center"/>
    </xf>
    <xf numFmtId="0" fontId="5" fillId="2" borderId="0" xfId="0" applyFont="1" applyFill="1" applyBorder="1" applyAlignment="1">
      <alignment horizontal="left" vertical="center"/>
    </xf>
    <xf numFmtId="0" fontId="8" fillId="0" borderId="0" xfId="0" applyFont="1" applyBorder="1" applyAlignment="1">
      <alignment vertical="center"/>
    </xf>
    <xf numFmtId="0" fontId="10" fillId="3" borderId="5" xfId="11" applyFont="1" applyFill="1" applyBorder="1" applyAlignment="1">
      <alignment horizontal="center" vertical="center"/>
    </xf>
    <xf numFmtId="187" fontId="10" fillId="3" borderId="6" xfId="4" applyNumberFormat="1" applyFont="1" applyFill="1" applyBorder="1" applyAlignment="1">
      <alignment horizontal="center" vertical="center"/>
    </xf>
    <xf numFmtId="0" fontId="3" fillId="2" borderId="0" xfId="0" applyFont="1" applyFill="1"/>
    <xf numFmtId="3" fontId="18" fillId="2" borderId="0" xfId="0" applyNumberFormat="1" applyFont="1" applyFill="1" applyAlignment="1">
      <alignment horizontal="center" vertical="top"/>
    </xf>
    <xf numFmtId="0" fontId="18" fillId="2" borderId="0" xfId="0" applyFont="1" applyFill="1"/>
    <xf numFmtId="0" fontId="19" fillId="2" borderId="0" xfId="0" applyFont="1" applyFill="1"/>
    <xf numFmtId="0" fontId="19" fillId="2" borderId="0" xfId="0" applyFont="1" applyFill="1" applyAlignment="1">
      <alignment horizontal="left"/>
    </xf>
    <xf numFmtId="0" fontId="14" fillId="0" borderId="0" xfId="11" applyFont="1" applyAlignment="1">
      <alignment vertical="center"/>
    </xf>
    <xf numFmtId="187" fontId="14" fillId="0" borderId="0" xfId="4" applyNumberFormat="1" applyFont="1" applyAlignment="1">
      <alignment vertical="center"/>
    </xf>
    <xf numFmtId="0" fontId="21" fillId="0" borderId="0" xfId="8" applyFont="1" applyAlignment="1">
      <alignment vertical="center"/>
    </xf>
    <xf numFmtId="0" fontId="22" fillId="0" borderId="0" xfId="8" applyFont="1" applyAlignment="1">
      <alignment horizontal="center" vertical="center"/>
    </xf>
    <xf numFmtId="0" fontId="21" fillId="0" borderId="0" xfId="8" applyFont="1" applyAlignment="1">
      <alignment horizontal="center" vertical="center"/>
    </xf>
    <xf numFmtId="187" fontId="10" fillId="3" borderId="20" xfId="4" applyNumberFormat="1" applyFont="1" applyFill="1" applyBorder="1" applyAlignment="1">
      <alignment horizontal="center" vertical="center"/>
    </xf>
    <xf numFmtId="187" fontId="14" fillId="0" borderId="7" xfId="4" applyNumberFormat="1" applyFont="1" applyFill="1" applyBorder="1" applyAlignment="1">
      <alignment horizontal="center" vertical="center" wrapText="1"/>
    </xf>
    <xf numFmtId="0" fontId="14" fillId="0" borderId="5" xfId="4" applyNumberFormat="1" applyFont="1" applyFill="1" applyBorder="1" applyAlignment="1">
      <alignment horizontal="center" vertical="center" wrapText="1"/>
    </xf>
    <xf numFmtId="188" fontId="14" fillId="0" borderId="7" xfId="4" applyNumberFormat="1" applyFont="1" applyBorder="1" applyAlignment="1">
      <alignment horizontal="center" vertical="center" wrapText="1"/>
    </xf>
    <xf numFmtId="0" fontId="14" fillId="0" borderId="20" xfId="4" applyNumberFormat="1" applyFont="1" applyFill="1" applyBorder="1" applyAlignment="1">
      <alignment horizontal="center" vertical="center" wrapText="1"/>
    </xf>
    <xf numFmtId="187" fontId="20" fillId="0" borderId="0" xfId="8" applyNumberFormat="1" applyFont="1" applyBorder="1" applyAlignment="1">
      <alignment vertical="center"/>
    </xf>
    <xf numFmtId="0" fontId="20" fillId="0" borderId="0" xfId="8" applyFont="1" applyBorder="1" applyAlignment="1">
      <alignment vertical="center"/>
    </xf>
    <xf numFmtId="187" fontId="14" fillId="0" borderId="23" xfId="4" applyNumberFormat="1" applyFont="1" applyFill="1" applyBorder="1" applyAlignment="1">
      <alignment horizontal="center" vertical="center" wrapText="1"/>
    </xf>
    <xf numFmtId="0" fontId="14" fillId="0" borderId="23" xfId="4" applyNumberFormat="1" applyFont="1" applyFill="1" applyBorder="1" applyAlignment="1">
      <alignment horizontal="center" vertical="center" wrapText="1"/>
    </xf>
    <xf numFmtId="188" fontId="14" fillId="0" borderId="23" xfId="4" applyNumberFormat="1" applyFont="1" applyBorder="1" applyAlignment="1">
      <alignment horizontal="center" vertical="center" wrapText="1"/>
    </xf>
    <xf numFmtId="0" fontId="14" fillId="0" borderId="24" xfId="4" applyNumberFormat="1" applyFont="1" applyFill="1" applyBorder="1" applyAlignment="1">
      <alignment horizontal="center" vertical="center" wrapText="1"/>
    </xf>
    <xf numFmtId="188" fontId="14" fillId="0" borderId="25" xfId="4" applyNumberFormat="1" applyFont="1" applyBorder="1" applyAlignment="1">
      <alignment horizontal="center" vertical="center" wrapText="1"/>
    </xf>
    <xf numFmtId="187" fontId="14" fillId="0" borderId="26" xfId="4" applyNumberFormat="1" applyFont="1" applyBorder="1" applyAlignment="1">
      <alignment horizontal="center" vertical="center" wrapText="1"/>
    </xf>
    <xf numFmtId="187" fontId="14" fillId="0" borderId="2" xfId="4" applyNumberFormat="1" applyFont="1" applyFill="1" applyBorder="1" applyAlignment="1">
      <alignment horizontal="center" vertical="center" wrapText="1"/>
    </xf>
    <xf numFmtId="188" fontId="14" fillId="0" borderId="9" xfId="4" applyNumberFormat="1" applyFont="1" applyBorder="1" applyAlignment="1">
      <alignment horizontal="center" vertical="center" wrapText="1"/>
    </xf>
    <xf numFmtId="187" fontId="14" fillId="0" borderId="27" xfId="4" applyNumberFormat="1" applyFont="1" applyBorder="1" applyAlignment="1">
      <alignment horizontal="center" vertical="center" wrapText="1"/>
    </xf>
    <xf numFmtId="0" fontId="20" fillId="0" borderId="28" xfId="8" applyFont="1" applyBorder="1" applyAlignment="1">
      <alignment vertical="center"/>
    </xf>
    <xf numFmtId="187" fontId="9" fillId="0" borderId="2" xfId="4" applyNumberFormat="1" applyFont="1" applyBorder="1" applyAlignment="1">
      <alignment horizontal="center" vertical="center" wrapText="1"/>
    </xf>
    <xf numFmtId="188" fontId="9" fillId="0" borderId="2" xfId="4" applyNumberFormat="1" applyFont="1" applyBorder="1" applyAlignment="1">
      <alignment horizontal="center" vertical="center" wrapText="1"/>
    </xf>
    <xf numFmtId="187" fontId="9" fillId="0" borderId="2" xfId="4" applyNumberFormat="1" applyFont="1" applyFill="1" applyBorder="1" applyAlignment="1">
      <alignment horizontal="center" vertical="center" wrapText="1"/>
    </xf>
    <xf numFmtId="187" fontId="9" fillId="0" borderId="27" xfId="4" applyNumberFormat="1" applyFont="1" applyBorder="1" applyAlignment="1">
      <alignment horizontal="center" vertical="center" wrapText="1"/>
    </xf>
    <xf numFmtId="187" fontId="20" fillId="0" borderId="0" xfId="8" applyNumberFormat="1" applyFont="1" applyAlignment="1">
      <alignment vertical="center"/>
    </xf>
    <xf numFmtId="1" fontId="14" fillId="0" borderId="1" xfId="4" applyNumberFormat="1" applyFont="1" applyBorder="1" applyAlignment="1">
      <alignment horizontal="center" vertical="center" wrapText="1"/>
    </xf>
    <xf numFmtId="187" fontId="14" fillId="0" borderId="1" xfId="4" applyNumberFormat="1" applyFont="1" applyBorder="1" applyAlignment="1">
      <alignment horizontal="center" vertical="center" wrapText="1"/>
    </xf>
    <xf numFmtId="187" fontId="14" fillId="0" borderId="1" xfId="4" applyNumberFormat="1" applyFont="1" applyFill="1" applyBorder="1" applyAlignment="1">
      <alignment horizontal="center" vertical="center" wrapText="1"/>
    </xf>
    <xf numFmtId="43" fontId="14" fillId="0" borderId="1" xfId="4" applyFont="1" applyBorder="1" applyAlignment="1">
      <alignment horizontal="center" vertical="center" wrapText="1"/>
    </xf>
    <xf numFmtId="187" fontId="14" fillId="0" borderId="31" xfId="4" applyNumberFormat="1" applyFont="1" applyBorder="1" applyAlignment="1">
      <alignment horizontal="center" vertical="center" wrapText="1"/>
    </xf>
    <xf numFmtId="0" fontId="20" fillId="0" borderId="0" xfId="8" applyFont="1" applyAlignment="1">
      <alignment vertical="center"/>
    </xf>
    <xf numFmtId="3" fontId="9" fillId="0" borderId="34" xfId="12" applyNumberFormat="1" applyFont="1" applyBorder="1" applyAlignment="1">
      <alignment horizontal="center" vertical="center"/>
    </xf>
    <xf numFmtId="187" fontId="9" fillId="0" borderId="34" xfId="4" applyNumberFormat="1" applyFont="1" applyBorder="1" applyAlignment="1">
      <alignment horizontal="center" vertical="center"/>
    </xf>
    <xf numFmtId="187" fontId="9" fillId="0" borderId="34" xfId="4" applyNumberFormat="1" applyFont="1" applyFill="1" applyBorder="1" applyAlignment="1">
      <alignment horizontal="center" vertical="center"/>
    </xf>
    <xf numFmtId="187" fontId="9" fillId="0" borderId="35" xfId="4" applyNumberFormat="1" applyFont="1" applyBorder="1" applyAlignment="1">
      <alignment horizontal="center" vertical="center"/>
    </xf>
    <xf numFmtId="0" fontId="9" fillId="0" borderId="0" xfId="11" applyFont="1" applyBorder="1" applyAlignment="1">
      <alignment vertical="center"/>
    </xf>
    <xf numFmtId="0" fontId="14" fillId="0" borderId="0" xfId="11" applyFont="1" applyBorder="1" applyAlignment="1">
      <alignment vertical="center"/>
    </xf>
    <xf numFmtId="0" fontId="14" fillId="0" borderId="0" xfId="11" applyFont="1" applyBorder="1" applyAlignment="1">
      <alignment horizontal="center" vertical="center"/>
    </xf>
    <xf numFmtId="1" fontId="14" fillId="0" borderId="0" xfId="11" applyNumberFormat="1" applyFont="1" applyAlignment="1">
      <alignment vertical="center"/>
    </xf>
    <xf numFmtId="0" fontId="23" fillId="0" borderId="0" xfId="8" applyFont="1" applyAlignment="1">
      <alignment vertical="center"/>
    </xf>
    <xf numFmtId="0" fontId="14" fillId="0" borderId="0" xfId="11" applyFont="1" applyAlignment="1">
      <alignment horizontal="center" vertical="center"/>
    </xf>
    <xf numFmtId="4" fontId="14" fillId="0" borderId="0" xfId="8" applyNumberFormat="1" applyFont="1" applyFill="1" applyBorder="1" applyAlignment="1">
      <alignment horizontal="left" vertical="center" wrapText="1"/>
    </xf>
    <xf numFmtId="187" fontId="15" fillId="0" borderId="0" xfId="4" applyNumberFormat="1" applyFont="1" applyBorder="1" applyAlignment="1">
      <alignment horizontal="center" vertical="center"/>
    </xf>
    <xf numFmtId="49" fontId="14" fillId="0" borderId="0" xfId="8" applyNumberFormat="1" applyFont="1" applyAlignment="1">
      <alignment vertical="center"/>
    </xf>
    <xf numFmtId="0" fontId="14" fillId="0" borderId="0" xfId="8" applyFont="1" applyAlignment="1">
      <alignment vertical="center"/>
    </xf>
    <xf numFmtId="0" fontId="24" fillId="0" borderId="0" xfId="8" applyFont="1" applyAlignment="1">
      <alignment vertical="center"/>
    </xf>
    <xf numFmtId="187" fontId="24" fillId="0" borderId="0" xfId="4" applyNumberFormat="1" applyFont="1" applyAlignment="1">
      <alignment vertical="center"/>
    </xf>
    <xf numFmtId="0" fontId="25" fillId="0" borderId="0" xfId="8" applyFont="1" applyAlignment="1">
      <alignment vertical="center"/>
    </xf>
    <xf numFmtId="0" fontId="26" fillId="0" borderId="0" xfId="8" applyFont="1" applyFill="1" applyBorder="1" applyAlignment="1">
      <alignment horizontal="center" vertical="center"/>
    </xf>
    <xf numFmtId="3" fontId="19" fillId="2" borderId="0" xfId="0" applyNumberFormat="1" applyFont="1" applyFill="1" applyAlignment="1">
      <alignment horizontal="left" vertical="top"/>
    </xf>
    <xf numFmtId="0" fontId="3" fillId="0" borderId="0" xfId="0" applyFont="1" applyFill="1"/>
    <xf numFmtId="0" fontId="27" fillId="0" borderId="0" xfId="0" applyFont="1"/>
    <xf numFmtId="0" fontId="19" fillId="0" borderId="0" xfId="0" applyFont="1" applyFill="1"/>
    <xf numFmtId="0" fontId="19" fillId="0" borderId="0" xfId="0" applyFont="1" applyFill="1" applyAlignment="1">
      <alignment horizontal="left"/>
    </xf>
    <xf numFmtId="3" fontId="18" fillId="0" borderId="0" xfId="0" applyNumberFormat="1" applyFont="1" applyFill="1" applyAlignment="1">
      <alignment horizontal="center" vertical="top"/>
    </xf>
    <xf numFmtId="0" fontId="18" fillId="0" borderId="0" xfId="0" applyFont="1" applyFill="1"/>
    <xf numFmtId="0" fontId="28" fillId="0" borderId="0" xfId="0" applyFont="1"/>
    <xf numFmtId="0" fontId="16" fillId="0" borderId="0" xfId="0" applyFont="1"/>
    <xf numFmtId="187" fontId="17" fillId="0" borderId="1" xfId="1" applyNumberFormat="1" applyFont="1" applyBorder="1" applyAlignment="1">
      <alignment horizontal="center" vertical="center" wrapText="1"/>
    </xf>
    <xf numFmtId="0" fontId="12" fillId="4" borderId="0" xfId="0" applyFont="1" applyFill="1"/>
    <xf numFmtId="0" fontId="19" fillId="2" borderId="0" xfId="0" applyFont="1" applyFill="1" applyAlignment="1">
      <alignment horizontal="center" vertical="center"/>
    </xf>
    <xf numFmtId="0" fontId="19" fillId="0" borderId="0" xfId="0" applyFont="1" applyFill="1" applyAlignment="1">
      <alignment horizontal="center" vertical="center"/>
    </xf>
    <xf numFmtId="0" fontId="3" fillId="2" borderId="0" xfId="0" applyFont="1" applyFill="1" applyAlignment="1">
      <alignment horizontal="center" vertical="center"/>
    </xf>
    <xf numFmtId="0" fontId="3" fillId="0" borderId="0" xfId="0" applyFont="1" applyFill="1" applyAlignment="1">
      <alignment horizontal="center" vertical="center"/>
    </xf>
    <xf numFmtId="0" fontId="0" fillId="0" borderId="0" xfId="0"/>
    <xf numFmtId="0" fontId="3" fillId="2" borderId="0" xfId="0" applyFont="1" applyFill="1" applyAlignment="1">
      <alignment horizontal="center" vertical="center"/>
    </xf>
    <xf numFmtId="0" fontId="3" fillId="0" borderId="0" xfId="0" applyFont="1" applyFill="1" applyAlignment="1">
      <alignment horizontal="center" vertical="center"/>
    </xf>
    <xf numFmtId="0" fontId="0" fillId="0" borderId="0" xfId="0" applyAlignment="1">
      <alignment horizontal="center" vertical="center"/>
    </xf>
    <xf numFmtId="187" fontId="0" fillId="0" borderId="0" xfId="1" applyNumberFormat="1" applyFont="1"/>
    <xf numFmtId="187" fontId="0" fillId="0" borderId="0" xfId="1" applyNumberFormat="1" applyFont="1" applyAlignment="1">
      <alignment horizontal="center" vertical="center"/>
    </xf>
    <xf numFmtId="187" fontId="0" fillId="5" borderId="0" xfId="1" applyNumberFormat="1" applyFont="1" applyFill="1"/>
    <xf numFmtId="187" fontId="0" fillId="5" borderId="0" xfId="1" applyNumberFormat="1" applyFont="1" applyFill="1" applyAlignment="1">
      <alignment horizontal="center" vertical="center"/>
    </xf>
    <xf numFmtId="0" fontId="0" fillId="6" borderId="0" xfId="0" applyFill="1" applyAlignment="1">
      <alignment horizontal="center" vertical="center"/>
    </xf>
    <xf numFmtId="187" fontId="0" fillId="6" borderId="0" xfId="1" applyNumberFormat="1" applyFont="1" applyFill="1"/>
    <xf numFmtId="187" fontId="0" fillId="5" borderId="0" xfId="1" applyNumberFormat="1" applyFont="1" applyFill="1" applyBorder="1"/>
    <xf numFmtId="187" fontId="0" fillId="6" borderId="0" xfId="1" applyNumberFormat="1" applyFont="1" applyFill="1" applyBorder="1"/>
    <xf numFmtId="187" fontId="17" fillId="6" borderId="0" xfId="1" applyNumberFormat="1" applyFont="1" applyFill="1" applyBorder="1" applyAlignment="1">
      <alignment horizontal="left" vertical="top" wrapText="1"/>
    </xf>
    <xf numFmtId="187" fontId="0" fillId="0" borderId="0" xfId="1" applyNumberFormat="1" applyFont="1" applyAlignment="1">
      <alignment horizontal="center" vertical="center"/>
    </xf>
    <xf numFmtId="0" fontId="0" fillId="0" borderId="0" xfId="0"/>
    <xf numFmtId="187" fontId="0" fillId="0" borderId="0" xfId="1" applyNumberFormat="1" applyFont="1"/>
    <xf numFmtId="0" fontId="16" fillId="0" borderId="0" xfId="0" applyFont="1" applyAlignment="1">
      <alignment horizontal="left" vertical="top"/>
    </xf>
    <xf numFmtId="0" fontId="16" fillId="0" borderId="0" xfId="0" applyFont="1" applyAlignment="1">
      <alignment horizontal="left" vertical="top" wrapText="1"/>
    </xf>
    <xf numFmtId="0" fontId="16" fillId="0" borderId="0" xfId="0" applyFont="1" applyAlignment="1">
      <alignment horizontal="center" vertical="center"/>
    </xf>
    <xf numFmtId="187" fontId="14" fillId="2" borderId="0" xfId="1" applyNumberFormat="1" applyFont="1" applyFill="1"/>
    <xf numFmtId="187" fontId="14" fillId="2" borderId="0" xfId="0" applyNumberFormat="1" applyFont="1" applyFill="1"/>
    <xf numFmtId="0" fontId="0" fillId="0" borderId="0" xfId="0" applyFill="1" applyAlignment="1">
      <alignment horizontal="center" vertical="center"/>
    </xf>
    <xf numFmtId="187" fontId="0" fillId="0" borderId="0" xfId="1" applyNumberFormat="1" applyFont="1" applyFill="1"/>
    <xf numFmtId="187" fontId="0" fillId="7" borderId="0" xfId="1" applyNumberFormat="1" applyFont="1" applyFill="1"/>
    <xf numFmtId="187" fontId="0" fillId="8" borderId="0" xfId="1" applyNumberFormat="1" applyFont="1" applyFill="1"/>
    <xf numFmtId="0" fontId="19" fillId="2" borderId="0" xfId="0" applyFont="1" applyFill="1"/>
    <xf numFmtId="0" fontId="14" fillId="0" borderId="21" xfId="11" applyFont="1" applyBorder="1" applyAlignment="1">
      <alignment vertical="center" wrapText="1"/>
    </xf>
    <xf numFmtId="0" fontId="14" fillId="0" borderId="22" xfId="11" applyFont="1" applyBorder="1" applyAlignment="1">
      <alignment vertical="center" wrapText="1"/>
    </xf>
    <xf numFmtId="0" fontId="30" fillId="2" borderId="0" xfId="0" applyFont="1" applyFill="1" applyAlignment="1">
      <alignment vertical="center"/>
    </xf>
    <xf numFmtId="0" fontId="30" fillId="0" borderId="0" xfId="0" applyFont="1" applyFill="1" applyAlignment="1">
      <alignment vertical="center"/>
    </xf>
    <xf numFmtId="0" fontId="16" fillId="0" borderId="1" xfId="0" applyFont="1" applyBorder="1" applyAlignment="1">
      <alignment horizontal="center" vertical="top"/>
    </xf>
    <xf numFmtId="0" fontId="16" fillId="0" borderId="1" xfId="0" applyFont="1" applyBorder="1" applyAlignment="1">
      <alignment horizontal="center"/>
    </xf>
    <xf numFmtId="0" fontId="16" fillId="0" borderId="1" xfId="0" applyFont="1" applyBorder="1" applyAlignment="1">
      <alignment horizontal="left" vertical="top" wrapText="1"/>
    </xf>
    <xf numFmtId="0" fontId="16" fillId="0" borderId="10" xfId="0" applyFont="1" applyFill="1" applyBorder="1" applyAlignment="1">
      <alignment horizontal="left" vertical="top" wrapText="1"/>
    </xf>
    <xf numFmtId="187" fontId="16" fillId="0" borderId="1" xfId="1" applyNumberFormat="1" applyFont="1" applyBorder="1" applyAlignment="1">
      <alignment horizontal="center"/>
    </xf>
    <xf numFmtId="187" fontId="16" fillId="0" borderId="1" xfId="0" applyNumberFormat="1" applyFont="1" applyBorder="1" applyAlignment="1">
      <alignment horizontal="center"/>
    </xf>
    <xf numFmtId="0" fontId="0" fillId="0" borderId="9" xfId="0" applyBorder="1" applyAlignment="1">
      <alignment horizontal="center"/>
    </xf>
    <xf numFmtId="0" fontId="31" fillId="0" borderId="1" xfId="0" applyFont="1" applyBorder="1" applyAlignment="1">
      <alignment horizontal="center"/>
    </xf>
    <xf numFmtId="187" fontId="31" fillId="0" borderId="1" xfId="1" applyNumberFormat="1" applyFont="1" applyBorder="1" applyAlignment="1">
      <alignment horizontal="center"/>
    </xf>
    <xf numFmtId="187" fontId="32" fillId="0" borderId="0" xfId="1" applyNumberFormat="1" applyFont="1"/>
    <xf numFmtId="3" fontId="0" fillId="0" borderId="0" xfId="0" applyNumberFormat="1"/>
    <xf numFmtId="43" fontId="0" fillId="0" borderId="0" xfId="1" applyFont="1"/>
    <xf numFmtId="187" fontId="18" fillId="2" borderId="0" xfId="1" applyNumberFormat="1" applyFont="1" applyFill="1" applyAlignment="1">
      <alignment horizontal="center" vertical="top"/>
    </xf>
    <xf numFmtId="187" fontId="18" fillId="2" borderId="0" xfId="1" applyNumberFormat="1" applyFont="1" applyFill="1"/>
    <xf numFmtId="187" fontId="19" fillId="0" borderId="0" xfId="1" applyNumberFormat="1" applyFont="1" applyFill="1" applyAlignment="1">
      <alignment horizontal="left" vertical="top"/>
    </xf>
    <xf numFmtId="187" fontId="18" fillId="0" borderId="0" xfId="1" applyNumberFormat="1" applyFont="1" applyFill="1" applyAlignment="1">
      <alignment horizontal="center" vertical="top"/>
    </xf>
    <xf numFmtId="187" fontId="18" fillId="0" borderId="0" xfId="1" applyNumberFormat="1" applyFont="1" applyFill="1"/>
    <xf numFmtId="187" fontId="19" fillId="2" borderId="0" xfId="1" applyNumberFormat="1" applyFont="1" applyFill="1" applyAlignment="1">
      <alignment horizontal="left" vertical="top"/>
    </xf>
    <xf numFmtId="187" fontId="14" fillId="0" borderId="1" xfId="1" applyNumberFormat="1" applyFont="1" applyFill="1" applyBorder="1" applyAlignment="1">
      <alignment horizontal="right" vertical="top" wrapText="1"/>
    </xf>
    <xf numFmtId="187" fontId="14" fillId="0" borderId="1" xfId="1" applyNumberFormat="1" applyFont="1" applyFill="1" applyBorder="1" applyAlignment="1">
      <alignment horizontal="center" vertical="top" wrapText="1"/>
    </xf>
    <xf numFmtId="1" fontId="19" fillId="0" borderId="0" xfId="0" applyNumberFormat="1" applyFont="1" applyFill="1"/>
    <xf numFmtId="1" fontId="19" fillId="2" borderId="0" xfId="0" applyNumberFormat="1" applyFont="1" applyFill="1"/>
    <xf numFmtId="0" fontId="19" fillId="5" borderId="0" xfId="0" applyFont="1" applyFill="1"/>
    <xf numFmtId="0" fontId="29" fillId="9" borderId="0" xfId="0" applyFont="1" applyFill="1"/>
    <xf numFmtId="0" fontId="12" fillId="7" borderId="1" xfId="0" applyFont="1" applyFill="1" applyBorder="1"/>
    <xf numFmtId="0" fontId="19" fillId="7" borderId="0" xfId="0" applyFont="1" applyFill="1"/>
    <xf numFmtId="0" fontId="12" fillId="7" borderId="0" xfId="0" applyFont="1" applyFill="1"/>
    <xf numFmtId="0" fontId="12" fillId="7" borderId="4" xfId="0" applyFont="1" applyFill="1" applyBorder="1"/>
    <xf numFmtId="0" fontId="3" fillId="5" borderId="0" xfId="0" applyFont="1" applyFill="1"/>
    <xf numFmtId="0" fontId="14" fillId="2" borderId="0" xfId="0" applyFont="1" applyFill="1" applyAlignment="1">
      <alignment horizontal="center" vertical="center"/>
    </xf>
    <xf numFmtId="0" fontId="14" fillId="2" borderId="0" xfId="0" applyFont="1" applyFill="1"/>
    <xf numFmtId="0" fontId="9" fillId="2" borderId="0" xfId="0" applyFont="1" applyFill="1" applyAlignment="1">
      <alignment vertical="center"/>
    </xf>
    <xf numFmtId="1" fontId="9" fillId="9" borderId="1" xfId="0" applyNumberFormat="1" applyFont="1" applyFill="1" applyBorder="1" applyAlignment="1">
      <alignment horizontal="center" vertical="center" wrapText="1"/>
    </xf>
    <xf numFmtId="0" fontId="9" fillId="9" borderId="1" xfId="0" applyNumberFormat="1" applyFont="1" applyFill="1" applyBorder="1" applyAlignment="1">
      <alignment horizontal="center" vertical="center" wrapText="1"/>
    </xf>
    <xf numFmtId="187" fontId="9" fillId="9" borderId="1" xfId="1" applyNumberFormat="1" applyFont="1" applyFill="1" applyBorder="1" applyAlignment="1">
      <alignment horizontal="center" vertical="center" wrapText="1"/>
    </xf>
    <xf numFmtId="0" fontId="9" fillId="9" borderId="1" xfId="0" applyFont="1" applyFill="1" applyBorder="1" applyAlignment="1">
      <alignment horizontal="center" vertical="center"/>
    </xf>
    <xf numFmtId="0" fontId="9" fillId="5" borderId="1" xfId="0" applyNumberFormat="1" applyFont="1" applyFill="1" applyBorder="1" applyAlignment="1">
      <alignment horizontal="center" vertical="center" wrapText="1"/>
    </xf>
    <xf numFmtId="187" fontId="9" fillId="5" borderId="1" xfId="1" applyNumberFormat="1" applyFont="1" applyFill="1" applyBorder="1" applyAlignment="1">
      <alignment horizontal="right" vertical="top" wrapText="1"/>
    </xf>
    <xf numFmtId="0" fontId="14" fillId="5" borderId="1" xfId="0" applyFont="1" applyFill="1" applyBorder="1"/>
    <xf numFmtId="1" fontId="9" fillId="7" borderId="1" xfId="0" applyNumberFormat="1" applyFont="1" applyFill="1" applyBorder="1" applyAlignment="1">
      <alignment horizontal="center" vertical="top" wrapText="1"/>
    </xf>
    <xf numFmtId="0" fontId="9" fillId="7" borderId="1" xfId="0" applyFont="1" applyFill="1" applyBorder="1" applyAlignment="1">
      <alignment horizontal="left" vertical="top" wrapText="1"/>
    </xf>
    <xf numFmtId="0" fontId="9" fillId="7" borderId="1" xfId="0" applyFont="1" applyFill="1" applyBorder="1"/>
    <xf numFmtId="187" fontId="9" fillId="7" borderId="1" xfId="1" applyNumberFormat="1" applyFont="1" applyFill="1" applyBorder="1" applyAlignment="1">
      <alignment vertical="top"/>
    </xf>
    <xf numFmtId="187" fontId="9" fillId="7" borderId="1" xfId="0" applyNumberFormat="1" applyFont="1" applyFill="1" applyBorder="1" applyAlignment="1">
      <alignment horizontal="left" vertical="top" wrapText="1"/>
    </xf>
    <xf numFmtId="0" fontId="14" fillId="7" borderId="1" xfId="0" applyFont="1" applyFill="1" applyBorder="1"/>
    <xf numFmtId="1" fontId="14" fillId="0" borderId="1" xfId="0" applyNumberFormat="1" applyFont="1" applyFill="1" applyBorder="1" applyAlignment="1">
      <alignment horizontal="center" vertical="top" wrapText="1"/>
    </xf>
    <xf numFmtId="0" fontId="16"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187" fontId="16" fillId="0" borderId="1" xfId="1" applyNumberFormat="1" applyFont="1" applyFill="1" applyBorder="1" applyAlignment="1">
      <alignment horizontal="center" vertical="top" wrapText="1"/>
    </xf>
    <xf numFmtId="187" fontId="14" fillId="0" borderId="1" xfId="1" applyNumberFormat="1" applyFont="1" applyFill="1" applyBorder="1" applyAlignment="1">
      <alignment vertical="top"/>
    </xf>
    <xf numFmtId="187" fontId="9" fillId="0" borderId="1" xfId="1" applyNumberFormat="1" applyFont="1" applyFill="1" applyBorder="1" applyAlignment="1">
      <alignment horizontal="right" vertical="top" wrapText="1"/>
    </xf>
    <xf numFmtId="187" fontId="14" fillId="0" borderId="1" xfId="1" applyNumberFormat="1" applyFont="1" applyFill="1" applyBorder="1" applyAlignment="1">
      <alignment horizontal="right" vertical="top"/>
    </xf>
    <xf numFmtId="0" fontId="14" fillId="0" borderId="1" xfId="0" applyFont="1" applyFill="1" applyBorder="1"/>
    <xf numFmtId="187" fontId="34" fillId="0" borderId="1" xfId="1" applyNumberFormat="1" applyFont="1" applyFill="1" applyBorder="1" applyAlignment="1">
      <alignment vertical="top"/>
    </xf>
    <xf numFmtId="3" fontId="14" fillId="0" borderId="1" xfId="0" applyNumberFormat="1" applyFont="1" applyFill="1" applyBorder="1" applyAlignment="1">
      <alignment horizontal="center" vertical="top" wrapText="1"/>
    </xf>
    <xf numFmtId="3" fontId="14" fillId="0" borderId="1" xfId="0" applyNumberFormat="1" applyFont="1" applyFill="1" applyBorder="1" applyAlignment="1">
      <alignment horizontal="right" vertical="top" wrapText="1"/>
    </xf>
    <xf numFmtId="187" fontId="9" fillId="0" borderId="1" xfId="0" applyNumberFormat="1" applyFont="1" applyFill="1" applyBorder="1" applyAlignment="1">
      <alignment horizontal="right" vertical="top" wrapText="1"/>
    </xf>
    <xf numFmtId="0" fontId="28" fillId="7" borderId="1" xfId="0" applyFont="1" applyFill="1" applyBorder="1" applyAlignment="1">
      <alignment horizontal="left" vertical="top" wrapText="1"/>
    </xf>
    <xf numFmtId="0" fontId="9" fillId="7" borderId="1" xfId="0" applyFont="1" applyFill="1" applyBorder="1" applyAlignment="1">
      <alignment vertical="top" wrapText="1"/>
    </xf>
    <xf numFmtId="3" fontId="9" fillId="7" borderId="1" xfId="0" applyNumberFormat="1" applyFont="1" applyFill="1" applyBorder="1" applyAlignment="1">
      <alignment horizontal="left" vertical="top" wrapText="1"/>
    </xf>
    <xf numFmtId="187" fontId="16" fillId="0" borderId="1" xfId="1" applyNumberFormat="1" applyFont="1" applyFill="1" applyBorder="1" applyAlignment="1">
      <alignment horizontal="left" vertical="top" wrapText="1"/>
    </xf>
    <xf numFmtId="187" fontId="14" fillId="0" borderId="1" xfId="0" applyNumberFormat="1" applyFont="1" applyFill="1" applyBorder="1" applyAlignment="1">
      <alignment horizontal="center" vertical="top" wrapText="1"/>
    </xf>
    <xf numFmtId="187" fontId="9" fillId="7" borderId="1" xfId="1" applyNumberFormat="1" applyFont="1" applyFill="1" applyBorder="1" applyAlignment="1">
      <alignment horizontal="right" vertical="top" wrapText="1"/>
    </xf>
    <xf numFmtId="0" fontId="14" fillId="0" borderId="1" xfId="0" applyFont="1" applyFill="1" applyBorder="1" applyAlignment="1">
      <alignment vertical="top" wrapText="1"/>
    </xf>
    <xf numFmtId="187" fontId="28" fillId="5" borderId="1" xfId="1" applyNumberFormat="1" applyFont="1" applyFill="1" applyBorder="1" applyAlignment="1">
      <alignment horizontal="right" vertical="top" wrapText="1"/>
    </xf>
    <xf numFmtId="0" fontId="14" fillId="5" borderId="1" xfId="0" applyFont="1" applyFill="1" applyBorder="1" applyAlignment="1">
      <alignment horizontal="left" vertical="top" wrapText="1"/>
    </xf>
    <xf numFmtId="1" fontId="9" fillId="7" borderId="1" xfId="0" applyNumberFormat="1" applyFont="1" applyFill="1" applyBorder="1" applyAlignment="1">
      <alignment horizontal="center" vertical="top"/>
    </xf>
    <xf numFmtId="0" fontId="14" fillId="0" borderId="1" xfId="0" applyFont="1" applyFill="1" applyBorder="1" applyAlignment="1">
      <alignment vertical="top"/>
    </xf>
    <xf numFmtId="187" fontId="28" fillId="7" borderId="1" xfId="0" applyNumberFormat="1" applyFont="1" applyFill="1" applyBorder="1" applyAlignment="1">
      <alignment horizontal="left" vertical="top" wrapText="1"/>
    </xf>
    <xf numFmtId="1" fontId="14" fillId="2" borderId="1" xfId="0" applyNumberFormat="1" applyFont="1" applyFill="1" applyBorder="1" applyAlignment="1">
      <alignment horizontal="center" vertical="top" wrapText="1"/>
    </xf>
    <xf numFmtId="0" fontId="14" fillId="2" borderId="1" xfId="0" applyFont="1" applyFill="1" applyBorder="1" applyAlignment="1">
      <alignment horizontal="left" vertical="top" wrapText="1"/>
    </xf>
    <xf numFmtId="187" fontId="14" fillId="5" borderId="1" xfId="0" applyNumberFormat="1" applyFont="1" applyFill="1" applyBorder="1" applyAlignment="1">
      <alignment horizontal="left" vertical="top" wrapText="1"/>
    </xf>
    <xf numFmtId="0" fontId="9" fillId="7" borderId="1" xfId="0" applyFont="1" applyFill="1" applyBorder="1" applyAlignment="1">
      <alignment horizontal="center" vertical="center"/>
    </xf>
    <xf numFmtId="0" fontId="9" fillId="7" borderId="1" xfId="0" applyFont="1" applyFill="1" applyBorder="1" applyAlignment="1">
      <alignment vertical="center"/>
    </xf>
    <xf numFmtId="0" fontId="35" fillId="0" borderId="1" xfId="0" applyFont="1" applyBorder="1" applyAlignment="1">
      <alignment horizontal="left" vertical="top" wrapText="1"/>
    </xf>
    <xf numFmtId="187" fontId="16" fillId="0" borderId="1" xfId="1" applyNumberFormat="1" applyFont="1" applyFill="1" applyBorder="1" applyAlignment="1">
      <alignment horizontal="right" vertical="top"/>
    </xf>
    <xf numFmtId="187" fontId="16" fillId="0" borderId="1" xfId="1" applyNumberFormat="1" applyFont="1" applyFill="1" applyBorder="1" applyAlignment="1">
      <alignment vertical="top"/>
    </xf>
    <xf numFmtId="49" fontId="14" fillId="0" borderId="1" xfId="1" applyNumberFormat="1" applyFont="1" applyFill="1" applyBorder="1" applyAlignment="1">
      <alignment horizontal="left" vertical="top" wrapText="1"/>
    </xf>
    <xf numFmtId="3" fontId="9" fillId="7" borderId="1" xfId="0" applyNumberFormat="1" applyFont="1" applyFill="1" applyBorder="1" applyAlignment="1">
      <alignment horizontal="center" vertical="top" wrapText="1"/>
    </xf>
    <xf numFmtId="0" fontId="14" fillId="7" borderId="1" xfId="0" applyFont="1" applyFill="1" applyBorder="1" applyAlignment="1">
      <alignment vertical="top" wrapText="1"/>
    </xf>
    <xf numFmtId="3" fontId="14" fillId="2" borderId="1" xfId="0" applyNumberFormat="1" applyFont="1" applyFill="1" applyBorder="1" applyAlignment="1">
      <alignment horizontal="center" vertical="top" wrapText="1"/>
    </xf>
    <xf numFmtId="49" fontId="15" fillId="5" borderId="1" xfId="0" applyNumberFormat="1" applyFont="1" applyFill="1" applyBorder="1" applyAlignment="1">
      <alignment horizontal="left" vertical="top" wrapText="1"/>
    </xf>
    <xf numFmtId="1" fontId="16" fillId="0" borderId="0" xfId="0" applyNumberFormat="1" applyFont="1" applyFill="1" applyBorder="1" applyAlignment="1">
      <alignment vertical="top" wrapText="1"/>
    </xf>
    <xf numFmtId="3" fontId="16" fillId="0" borderId="0" xfId="0" applyNumberFormat="1" applyFont="1" applyFill="1" applyBorder="1" applyAlignment="1">
      <alignment vertical="top" wrapText="1"/>
    </xf>
    <xf numFmtId="3" fontId="28" fillId="0" borderId="0" xfId="0" applyNumberFormat="1" applyFont="1" applyFill="1" applyBorder="1" applyAlignment="1">
      <alignment horizontal="right" vertical="top" wrapText="1"/>
    </xf>
    <xf numFmtId="187" fontId="28" fillId="0" borderId="36" xfId="1" applyNumberFormat="1" applyFont="1" applyFill="1" applyBorder="1" applyAlignment="1">
      <alignment horizontal="right" vertical="top" wrapText="1"/>
    </xf>
    <xf numFmtId="3" fontId="28" fillId="0" borderId="0" xfId="0" applyNumberFormat="1" applyFont="1" applyFill="1" applyBorder="1" applyAlignment="1">
      <alignment horizontal="center" vertical="top" wrapText="1"/>
    </xf>
    <xf numFmtId="0" fontId="14" fillId="2" borderId="0" xfId="0" applyFont="1" applyFill="1" applyBorder="1"/>
    <xf numFmtId="41" fontId="16" fillId="0" borderId="0" xfId="0" applyNumberFormat="1" applyFont="1" applyFill="1" applyBorder="1" applyAlignment="1">
      <alignment horizontal="right" vertical="top" wrapText="1"/>
    </xf>
    <xf numFmtId="0" fontId="14" fillId="10" borderId="1" xfId="0" applyFont="1" applyFill="1" applyBorder="1" applyAlignment="1">
      <alignment horizontal="left" vertical="top" wrapText="1"/>
    </xf>
    <xf numFmtId="0" fontId="16" fillId="10" borderId="1" xfId="0" applyFont="1" applyFill="1" applyBorder="1" applyAlignment="1">
      <alignment horizontal="left" vertical="top" wrapText="1"/>
    </xf>
    <xf numFmtId="0" fontId="14" fillId="10" borderId="1" xfId="0" applyFont="1" applyFill="1" applyBorder="1" applyAlignment="1">
      <alignment vertical="top" wrapText="1"/>
    </xf>
    <xf numFmtId="0" fontId="37" fillId="0" borderId="0" xfId="0" applyFont="1" applyFill="1" applyAlignment="1">
      <alignment vertical="top" wrapText="1"/>
    </xf>
    <xf numFmtId="187" fontId="16" fillId="0" borderId="10" xfId="1" applyNumberFormat="1" applyFont="1" applyFill="1" applyBorder="1" applyAlignment="1">
      <alignment horizontal="right" vertical="top" wrapText="1"/>
    </xf>
    <xf numFmtId="187" fontId="16" fillId="0" borderId="2" xfId="1" applyNumberFormat="1" applyFont="1" applyFill="1" applyBorder="1" applyAlignment="1">
      <alignment horizontal="right" vertical="top" wrapText="1"/>
    </xf>
    <xf numFmtId="0" fontId="14" fillId="2" borderId="37" xfId="0" applyFont="1" applyFill="1" applyBorder="1"/>
    <xf numFmtId="0" fontId="14" fillId="9" borderId="1" xfId="0" applyFont="1" applyFill="1" applyBorder="1" applyAlignment="1">
      <alignment horizontal="center" vertical="center" wrapText="1"/>
    </xf>
    <xf numFmtId="187" fontId="14" fillId="9" borderId="1" xfId="0" applyNumberFormat="1" applyFont="1" applyFill="1" applyBorder="1" applyAlignment="1">
      <alignment horizontal="center" vertical="center"/>
    </xf>
    <xf numFmtId="0" fontId="14" fillId="9" borderId="1" xfId="0" applyFont="1" applyFill="1" applyBorder="1" applyAlignment="1">
      <alignment horizontal="center" vertical="center"/>
    </xf>
    <xf numFmtId="0" fontId="14" fillId="5" borderId="1" xfId="0" applyFont="1" applyFill="1" applyBorder="1" applyAlignment="1">
      <alignment horizontal="center" vertical="center" wrapText="1"/>
    </xf>
    <xf numFmtId="187" fontId="14" fillId="5" borderId="1" xfId="0" applyNumberFormat="1" applyFont="1" applyFill="1" applyBorder="1" applyAlignment="1">
      <alignment horizontal="center" vertical="center"/>
    </xf>
    <xf numFmtId="0" fontId="9" fillId="5" borderId="1" xfId="0" applyFont="1" applyFill="1" applyBorder="1" applyAlignment="1">
      <alignment vertical="center"/>
    </xf>
    <xf numFmtId="0" fontId="14" fillId="7"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9" fillId="0" borderId="1" xfId="0" applyFont="1" applyFill="1" applyBorder="1" applyAlignment="1">
      <alignment vertical="center"/>
    </xf>
    <xf numFmtId="0" fontId="14" fillId="0" borderId="1" xfId="0" applyFont="1" applyFill="1" applyBorder="1" applyAlignment="1">
      <alignment horizontal="left" vertical="top"/>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5" borderId="1" xfId="0" applyFont="1" applyFill="1" applyBorder="1" applyAlignment="1">
      <alignment horizontal="left" vertical="top"/>
    </xf>
    <xf numFmtId="0" fontId="14" fillId="2" borderId="1" xfId="0" applyFont="1" applyFill="1" applyBorder="1"/>
    <xf numFmtId="0" fontId="14" fillId="5" borderId="1" xfId="0" applyFont="1" applyFill="1" applyBorder="1" applyAlignment="1">
      <alignment horizontal="center" vertical="center"/>
    </xf>
    <xf numFmtId="0" fontId="14" fillId="7" borderId="1" xfId="0" applyFont="1" applyFill="1" applyBorder="1" applyAlignment="1">
      <alignment horizontal="center" vertical="center" wrapText="1"/>
    </xf>
    <xf numFmtId="0" fontId="9" fillId="7" borderId="1" xfId="0" applyFont="1" applyFill="1" applyBorder="1" applyAlignment="1">
      <alignment horizontal="center" vertical="top"/>
    </xf>
    <xf numFmtId="1" fontId="14" fillId="0" borderId="5" xfId="12" applyNumberFormat="1" applyFont="1" applyBorder="1" applyAlignment="1">
      <alignment horizontal="center" vertical="center" wrapText="1"/>
    </xf>
    <xf numFmtId="1" fontId="14" fillId="0" borderId="2" xfId="12" applyNumberFormat="1" applyFont="1" applyBorder="1" applyAlignment="1">
      <alignment horizontal="center" vertical="center" wrapText="1"/>
    </xf>
    <xf numFmtId="187" fontId="14" fillId="0" borderId="5" xfId="4" applyNumberFormat="1" applyFont="1" applyBorder="1" applyAlignment="1">
      <alignment horizontal="center" vertical="center" wrapText="1"/>
    </xf>
    <xf numFmtId="187" fontId="14" fillId="0" borderId="2" xfId="4" applyNumberFormat="1" applyFont="1" applyBorder="1" applyAlignment="1">
      <alignment horizontal="center" vertical="center" wrapText="1"/>
    </xf>
    <xf numFmtId="187" fontId="14" fillId="0" borderId="6" xfId="4" applyNumberFormat="1" applyFont="1" applyBorder="1" applyAlignment="1">
      <alignment horizontal="center" vertical="center" wrapText="1"/>
    </xf>
    <xf numFmtId="187" fontId="14" fillId="0" borderId="8" xfId="4" applyNumberFormat="1" applyFont="1" applyBorder="1" applyAlignment="1">
      <alignment horizontal="center" vertical="center" wrapText="1"/>
    </xf>
    <xf numFmtId="0" fontId="14" fillId="0" borderId="5" xfId="8" applyFont="1" applyFill="1" applyBorder="1" applyAlignment="1">
      <alignment horizontal="left" vertical="top" wrapText="1"/>
    </xf>
    <xf numFmtId="0" fontId="14" fillId="0" borderId="2" xfId="8" applyFont="1" applyFill="1" applyBorder="1" applyAlignment="1">
      <alignment horizontal="left" vertical="top" wrapText="1"/>
    </xf>
    <xf numFmtId="187" fontId="14" fillId="0" borderId="5" xfId="4" applyNumberFormat="1" applyFont="1" applyBorder="1" applyAlignment="1">
      <alignment horizontal="center" vertical="center"/>
    </xf>
    <xf numFmtId="187" fontId="14" fillId="0" borderId="2" xfId="4" applyNumberFormat="1" applyFont="1" applyBorder="1" applyAlignment="1">
      <alignment horizontal="center" vertical="center"/>
    </xf>
    <xf numFmtId="0" fontId="13" fillId="0" borderId="0" xfId="0" applyFont="1" applyAlignment="1">
      <alignment horizontal="center" vertical="center"/>
    </xf>
    <xf numFmtId="0" fontId="9" fillId="0" borderId="29" xfId="11" applyFont="1" applyBorder="1" applyAlignment="1">
      <alignment horizontal="center" vertical="center" wrapText="1"/>
    </xf>
    <xf numFmtId="0" fontId="9" fillId="0" borderId="3" xfId="11" applyFont="1" applyBorder="1" applyAlignment="1">
      <alignment horizontal="center" vertical="center" wrapText="1"/>
    </xf>
    <xf numFmtId="0" fontId="9" fillId="0" borderId="30" xfId="8" applyFont="1" applyBorder="1" applyAlignment="1">
      <alignment horizontal="center" vertical="center" wrapText="1"/>
    </xf>
    <xf numFmtId="0" fontId="9" fillId="0" borderId="4" xfId="8" applyFont="1" applyBorder="1" applyAlignment="1">
      <alignment horizontal="center" vertical="center" wrapText="1"/>
    </xf>
    <xf numFmtId="0" fontId="9" fillId="0" borderId="32" xfId="11" applyFont="1" applyBorder="1" applyAlignment="1">
      <alignment horizontal="center" vertical="center"/>
    </xf>
    <xf numFmtId="0" fontId="9" fillId="0" borderId="33" xfId="11" applyFont="1" applyBorder="1" applyAlignment="1">
      <alignment horizontal="center" vertical="center"/>
    </xf>
    <xf numFmtId="0" fontId="19" fillId="0" borderId="0" xfId="11" applyFont="1" applyBorder="1" applyAlignment="1">
      <alignment horizontal="right" vertical="center"/>
    </xf>
    <xf numFmtId="0" fontId="11" fillId="3" borderId="12" xfId="11" applyFont="1" applyFill="1" applyBorder="1" applyAlignment="1">
      <alignment horizontal="center" vertical="center"/>
    </xf>
    <xf numFmtId="0" fontId="11" fillId="3" borderId="17" xfId="11" applyFont="1" applyFill="1" applyBorder="1" applyAlignment="1">
      <alignment horizontal="center" vertical="center"/>
    </xf>
    <xf numFmtId="0" fontId="11" fillId="3" borderId="19" xfId="11" applyFont="1" applyFill="1" applyBorder="1" applyAlignment="1">
      <alignment horizontal="center" vertical="center"/>
    </xf>
    <xf numFmtId="0" fontId="11" fillId="3" borderId="13" xfId="11" applyFont="1" applyFill="1" applyBorder="1" applyAlignment="1">
      <alignment horizontal="center" vertical="center"/>
    </xf>
    <xf numFmtId="0" fontId="11" fillId="3" borderId="10" xfId="11" applyFont="1" applyFill="1" applyBorder="1" applyAlignment="1">
      <alignment horizontal="center" vertical="center"/>
    </xf>
    <xf numFmtId="0" fontId="11" fillId="3" borderId="11" xfId="11" applyFont="1" applyFill="1" applyBorder="1" applyAlignment="1">
      <alignment horizontal="center" vertical="center"/>
    </xf>
    <xf numFmtId="0" fontId="10" fillId="3" borderId="14" xfId="11" applyFont="1" applyFill="1" applyBorder="1" applyAlignment="1">
      <alignment horizontal="center" vertical="center" wrapText="1"/>
    </xf>
    <xf numFmtId="0" fontId="10" fillId="3" borderId="15" xfId="11" applyFont="1" applyFill="1" applyBorder="1" applyAlignment="1">
      <alignment horizontal="center" vertical="center" wrapText="1"/>
    </xf>
    <xf numFmtId="0" fontId="10" fillId="3" borderId="8" xfId="11" applyFont="1" applyFill="1" applyBorder="1" applyAlignment="1">
      <alignment horizontal="center" vertical="center" wrapText="1"/>
    </xf>
    <xf numFmtId="0" fontId="10" fillId="3" borderId="9" xfId="11" applyFont="1" applyFill="1" applyBorder="1" applyAlignment="1">
      <alignment horizontal="center" vertical="center" wrapText="1"/>
    </xf>
    <xf numFmtId="0" fontId="12" fillId="3" borderId="14" xfId="11" applyFont="1" applyFill="1" applyBorder="1" applyAlignment="1">
      <alignment horizontal="center" vertical="center" wrapText="1"/>
    </xf>
    <xf numFmtId="0" fontId="12" fillId="3" borderId="15" xfId="11" applyFont="1" applyFill="1" applyBorder="1" applyAlignment="1">
      <alignment horizontal="center" vertical="center" wrapText="1"/>
    </xf>
    <xf numFmtId="0" fontId="12" fillId="3" borderId="8" xfId="11" applyFont="1" applyFill="1" applyBorder="1" applyAlignment="1">
      <alignment horizontal="center" vertical="center" wrapText="1"/>
    </xf>
    <xf numFmtId="0" fontId="12" fillId="3" borderId="9" xfId="11" applyFont="1" applyFill="1" applyBorder="1" applyAlignment="1">
      <alignment horizontal="center" vertical="center" wrapText="1"/>
    </xf>
    <xf numFmtId="0" fontId="10" fillId="3" borderId="16" xfId="11" applyFont="1" applyFill="1" applyBorder="1" applyAlignment="1">
      <alignment horizontal="center" vertical="center" wrapText="1"/>
    </xf>
    <xf numFmtId="0" fontId="10" fillId="3" borderId="18" xfId="11" applyFont="1" applyFill="1" applyBorder="1" applyAlignment="1">
      <alignment horizontal="center" vertical="center" wrapText="1"/>
    </xf>
    <xf numFmtId="0" fontId="14" fillId="0" borderId="0" xfId="11" applyFont="1" applyBorder="1" applyAlignment="1">
      <alignment horizontal="right" vertical="center"/>
    </xf>
    <xf numFmtId="0" fontId="0" fillId="0" borderId="9" xfId="0" applyBorder="1" applyAlignment="1">
      <alignment horizontal="center"/>
    </xf>
    <xf numFmtId="0" fontId="33" fillId="0" borderId="9" xfId="0" applyFont="1" applyBorder="1" applyAlignment="1">
      <alignment horizontal="center"/>
    </xf>
    <xf numFmtId="0" fontId="16" fillId="0" borderId="0" xfId="0" applyFont="1" applyFill="1" applyBorder="1" applyAlignment="1">
      <alignment horizontal="right" vertical="top"/>
    </xf>
    <xf numFmtId="0" fontId="9" fillId="2" borderId="0" xfId="0" applyFont="1" applyFill="1" applyAlignment="1">
      <alignment horizontal="center" vertical="center" wrapText="1"/>
    </xf>
    <xf numFmtId="0" fontId="9" fillId="2" borderId="0" xfId="0" applyFont="1" applyFill="1" applyBorder="1" applyAlignment="1">
      <alignment horizontal="center" vertical="center" wrapText="1"/>
    </xf>
    <xf numFmtId="0" fontId="9" fillId="5" borderId="1" xfId="0" applyNumberFormat="1" applyFont="1" applyFill="1" applyBorder="1" applyAlignment="1">
      <alignment horizontal="left" vertical="top" wrapText="1"/>
    </xf>
    <xf numFmtId="0" fontId="28" fillId="5" borderId="1" xfId="0" applyFont="1" applyFill="1" applyBorder="1" applyAlignment="1">
      <alignment horizontal="left" vertical="top" wrapText="1"/>
    </xf>
    <xf numFmtId="0" fontId="28" fillId="5" borderId="1" xfId="0" applyFont="1" applyFill="1" applyBorder="1" applyAlignment="1">
      <alignment horizontal="center" vertical="top" wrapText="1"/>
    </xf>
    <xf numFmtId="187" fontId="0" fillId="0" borderId="0" xfId="1" applyNumberFormat="1" applyFont="1" applyAlignment="1">
      <alignment horizontal="center" vertical="center"/>
    </xf>
    <xf numFmtId="0" fontId="15" fillId="0" borderId="1" xfId="0" applyFont="1" applyFill="1" applyBorder="1" applyAlignment="1">
      <alignment horizontal="left" vertical="top" wrapText="1"/>
    </xf>
    <xf numFmtId="187" fontId="15" fillId="0" borderId="1" xfId="1" applyNumberFormat="1" applyFont="1" applyFill="1" applyBorder="1" applyAlignment="1">
      <alignment horizontal="left" vertical="top" wrapText="1"/>
    </xf>
    <xf numFmtId="187" fontId="15" fillId="0" borderId="1" xfId="1" applyNumberFormat="1" applyFont="1" applyFill="1" applyBorder="1" applyAlignment="1">
      <alignment horizontal="right" vertical="top" wrapText="1"/>
    </xf>
    <xf numFmtId="187" fontId="15" fillId="0" borderId="1" xfId="0" applyNumberFormat="1" applyFont="1" applyFill="1" applyBorder="1" applyAlignment="1">
      <alignment horizontal="center" vertical="top" wrapText="1"/>
    </xf>
    <xf numFmtId="187" fontId="15" fillId="0" borderId="1" xfId="1" applyNumberFormat="1" applyFont="1" applyFill="1" applyBorder="1" applyAlignment="1">
      <alignment horizontal="center" vertical="top"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vertical="top" wrapText="1"/>
    </xf>
    <xf numFmtId="0" fontId="15" fillId="0" borderId="1" xfId="0" applyFont="1" applyFill="1" applyBorder="1"/>
    <xf numFmtId="0" fontId="36" fillId="0" borderId="1" xfId="0" applyFont="1" applyFill="1" applyBorder="1" applyAlignment="1">
      <alignment vertical="center"/>
    </xf>
    <xf numFmtId="0" fontId="15" fillId="0" borderId="1" xfId="0" applyFont="1" applyBorder="1" applyAlignment="1">
      <alignment horizontal="left" vertical="top" wrapText="1"/>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top" wrapText="1"/>
    </xf>
    <xf numFmtId="0" fontId="15" fillId="2" borderId="1" xfId="0" applyFont="1" applyFill="1" applyBorder="1"/>
    <xf numFmtId="187" fontId="15" fillId="0" borderId="1" xfId="1" applyNumberFormat="1" applyFont="1" applyBorder="1" applyAlignment="1">
      <alignment horizontal="center" vertical="top" wrapText="1"/>
    </xf>
    <xf numFmtId="187" fontId="15" fillId="2" borderId="1" xfId="1" applyNumberFormat="1" applyFont="1" applyFill="1" applyBorder="1" applyAlignment="1">
      <alignment horizontal="right" vertical="top" wrapText="1"/>
    </xf>
    <xf numFmtId="187" fontId="15" fillId="2" borderId="1" xfId="1" applyNumberFormat="1" applyFont="1" applyFill="1" applyBorder="1" applyAlignment="1">
      <alignment horizontal="left" vertical="top" wrapText="1"/>
    </xf>
    <xf numFmtId="0" fontId="36" fillId="2" borderId="1" xfId="0" applyFont="1" applyFill="1" applyBorder="1" applyAlignment="1">
      <alignment vertical="center"/>
    </xf>
    <xf numFmtId="0" fontId="15" fillId="0" borderId="1" xfId="0" applyFont="1" applyFill="1" applyBorder="1" applyAlignment="1">
      <alignment horizontal="center" vertical="top"/>
    </xf>
  </cellXfs>
  <cellStyles count="14">
    <cellStyle name="Comma" xfId="1" builtinId="3"/>
    <cellStyle name="Comma 2" xfId="2"/>
    <cellStyle name="Comma 2 2" xfId="3"/>
    <cellStyle name="Comma 2 3" xfId="12"/>
    <cellStyle name="Comma 3" xfId="4"/>
    <cellStyle name="Comma 4" xfId="5"/>
    <cellStyle name="Comma 5" xfId="6"/>
    <cellStyle name="Normal" xfId="0" builtinId="0"/>
    <cellStyle name="Normal 2" xfId="7"/>
    <cellStyle name="Normal 3" xfId="8"/>
    <cellStyle name="เครื่องหมายจุลภาค 2" xfId="9"/>
    <cellStyle name="จุลภาค 2" xfId="13"/>
    <cellStyle name="ปกติ 2" xfId="10"/>
    <cellStyle name="ปกติ_01 เหนือบน 1 (2เมย52)" xfId="11"/>
  </cellStyles>
  <dxfs count="0"/>
  <tableStyles count="0" defaultTableStyle="TableStyleMedium2" defaultPivotStyle="PivotStyleLight16"/>
  <colors>
    <mruColors>
      <color rgb="FFFDD991"/>
      <color rgb="FFF7E297"/>
      <color rgb="FF00CC99"/>
      <color rgb="FF089C4E"/>
      <color rgb="FFEEFE9C"/>
      <color rgb="FF0000FF"/>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77932</xdr:colOff>
      <xdr:row>23</xdr:row>
      <xdr:rowOff>25977</xdr:rowOff>
    </xdr:from>
    <xdr:to>
      <xdr:col>9</xdr:col>
      <xdr:colOff>916132</xdr:colOff>
      <xdr:row>27</xdr:row>
      <xdr:rowOff>207818</xdr:rowOff>
    </xdr:to>
    <xdr:sp macro="" textlink="">
      <xdr:nvSpPr>
        <xdr:cNvPr id="2" name="Rounded Rectangle 1">
          <a:extLst>
            <a:ext uri="{FF2B5EF4-FFF2-40B4-BE49-F238E27FC236}">
              <a16:creationId xmlns="" xmlns:a16="http://schemas.microsoft.com/office/drawing/2014/main" id="{00000000-0008-0000-0000-000002000000}"/>
            </a:ext>
          </a:extLst>
        </xdr:cNvPr>
        <xdr:cNvSpPr/>
      </xdr:nvSpPr>
      <xdr:spPr>
        <a:xfrm>
          <a:off x="77932" y="5048250"/>
          <a:ext cx="9220200" cy="1151659"/>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lang="th-TH" sz="1100" b="1" u="sng">
              <a:solidFill>
                <a:srgbClr val="FF0000"/>
              </a:solidFill>
            </a:rPr>
            <a:t>การกรอกข้อมูลใบสรุป</a:t>
          </a:r>
          <a:r>
            <a:rPr lang="en-US" sz="1100">
              <a:solidFill>
                <a:srgbClr val="FF0000"/>
              </a:solidFill>
            </a:rPr>
            <a:t>  </a:t>
          </a:r>
          <a:r>
            <a:rPr lang="th-TH" sz="1100">
              <a:solidFill>
                <a:srgbClr val="FF0000"/>
              </a:solidFill>
            </a:rPr>
            <a:t>(1) หมายถึง ระบุจำนวนโครงการและงบประมาณที่ทีมบูรณาการกลางพิจารณาเห็นว่าสมควรสนับสนุนแต่เกินกรอบวงเงินของจังหวัด/กลุ่มจังหวัด</a:t>
          </a:r>
          <a:r>
            <a:rPr lang="en-US" sz="1100" baseline="0">
              <a:solidFill>
                <a:srgbClr val="FF0000"/>
              </a:solidFill>
            </a:rPr>
            <a:t> </a:t>
          </a:r>
          <a:r>
            <a:rPr lang="th-TH" sz="1100">
              <a:solidFill>
                <a:srgbClr val="FF0000"/>
              </a:solidFill>
            </a:rPr>
            <a:t>(2) หมายถึง ระบุเฉพาะจำนวนงบประมาณของกิจกรรมที่เหลือจากโครงการที่เห็นสมควรสนับสนุนงบประมาณภายในกรอบวงเงินของจังหวัด/กลุ่มจังหวัดไปแล้ว และทีมบูรณาการกลางพิจารณาเห็นว่าสมควรสนับสนุนกิจกรรมที่เหลือดังกล่าว</a:t>
          </a:r>
          <a:r>
            <a:rPr lang="th-TH" sz="1100" baseline="0">
              <a:solidFill>
                <a:srgbClr val="FF0000"/>
              </a:solidFill>
            </a:rPr>
            <a:t> </a:t>
          </a:r>
          <a:r>
            <a:rPr lang="th-TH" sz="1100">
              <a:solidFill>
                <a:srgbClr val="FF0000"/>
              </a:solidFill>
            </a:rPr>
            <a:t>(3) หมายถึง ระบุจำนวนโครงการและงบประมาณที่ทีมบูรณาการกลางพิจารณาเห็นว่าไม่สมควรสนับสนุน (4) หมายถึง ระบุเฉพาะจำนวนงบประมาณที่ทีมบูรณาการกลางพิจารณาปรับลดจากโครงการที่เห็นสมควรสนับสนุนทั้งที่อยู่ภายในกรอบวงเงินและทีอยู่เกินกรอบวงเงินของจังหวัด/กลุ่มจังหวัด</a:t>
          </a:r>
        </a:p>
      </xdr:txBody>
    </xdr: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2"/>
  <sheetViews>
    <sheetView showGridLines="0" showWhiteSpace="0" view="pageBreakPreview" topLeftCell="A10" zoomScale="90" zoomScaleNormal="100" zoomScaleSheetLayoutView="90" workbookViewId="0">
      <selection activeCell="F10" sqref="F10:F11"/>
    </sheetView>
  </sheetViews>
  <sheetFormatPr defaultColWidth="32.375" defaultRowHeight="11.25" x14ac:dyDescent="0.2"/>
  <cols>
    <col min="1" max="1" width="5.375" style="5" customWidth="1"/>
    <col min="2" max="2" width="45.625" style="5" customWidth="1"/>
    <col min="3" max="3" width="6.875" style="5" customWidth="1"/>
    <col min="4" max="4" width="17.625" style="5" customWidth="1"/>
    <col min="5" max="5" width="7.375" style="5" customWidth="1"/>
    <col min="6" max="6" width="15.375" style="5" bestFit="1" customWidth="1"/>
    <col min="7" max="7" width="7.375" style="5" customWidth="1"/>
    <col min="8" max="8" width="16.125" style="5" customWidth="1"/>
    <col min="9" max="9" width="6.75" style="5" bestFit="1" customWidth="1"/>
    <col min="10" max="10" width="14" style="5" bestFit="1" customWidth="1"/>
    <col min="11" max="11" width="9" style="2" customWidth="1"/>
    <col min="12" max="12" width="13.125" style="2" bestFit="1" customWidth="1"/>
    <col min="13" max="256" width="9" style="5" customWidth="1"/>
    <col min="257" max="257" width="5.375" style="5" customWidth="1"/>
    <col min="258" max="16384" width="32.375" style="5"/>
  </cols>
  <sheetData>
    <row r="1" spans="1:13" ht="20.25" customHeight="1" x14ac:dyDescent="0.2">
      <c r="A1" s="237" t="s">
        <v>17</v>
      </c>
      <c r="B1" s="237"/>
      <c r="C1" s="237"/>
      <c r="D1" s="237"/>
      <c r="E1" s="237"/>
      <c r="F1" s="237"/>
      <c r="G1" s="237"/>
      <c r="H1" s="237"/>
      <c r="I1" s="237"/>
      <c r="J1" s="237"/>
    </row>
    <row r="2" spans="1:13" s="19" customFormat="1" ht="15.75" customHeight="1" thickBot="1" x14ac:dyDescent="0.25">
      <c r="A2" s="17"/>
      <c r="B2" s="17"/>
      <c r="C2" s="17"/>
      <c r="D2" s="18"/>
      <c r="E2" s="17"/>
      <c r="F2" s="18"/>
      <c r="G2" s="261"/>
      <c r="H2" s="261"/>
      <c r="I2" s="244" t="s">
        <v>0</v>
      </c>
      <c r="J2" s="244"/>
    </row>
    <row r="3" spans="1:13" s="21" customFormat="1" ht="21" customHeight="1" x14ac:dyDescent="0.2">
      <c r="A3" s="245" t="s">
        <v>1</v>
      </c>
      <c r="B3" s="248" t="s">
        <v>7</v>
      </c>
      <c r="C3" s="251" t="s">
        <v>12</v>
      </c>
      <c r="D3" s="252"/>
      <c r="E3" s="255" t="s">
        <v>8</v>
      </c>
      <c r="F3" s="256"/>
      <c r="G3" s="255" t="s">
        <v>9</v>
      </c>
      <c r="H3" s="256"/>
      <c r="I3" s="251" t="s">
        <v>2</v>
      </c>
      <c r="J3" s="259"/>
      <c r="K3" s="20"/>
      <c r="L3" s="20"/>
    </row>
    <row r="4" spans="1:13" s="21" customFormat="1" ht="21.75" customHeight="1" x14ac:dyDescent="0.2">
      <c r="A4" s="246"/>
      <c r="B4" s="249"/>
      <c r="C4" s="253"/>
      <c r="D4" s="254"/>
      <c r="E4" s="257"/>
      <c r="F4" s="258"/>
      <c r="G4" s="257"/>
      <c r="H4" s="258"/>
      <c r="I4" s="253"/>
      <c r="J4" s="260"/>
      <c r="K4" s="20"/>
      <c r="L4" s="20"/>
    </row>
    <row r="5" spans="1:13" s="21" customFormat="1" ht="25.15" customHeight="1" x14ac:dyDescent="0.2">
      <c r="A5" s="247"/>
      <c r="B5" s="250"/>
      <c r="C5" s="10" t="s">
        <v>3</v>
      </c>
      <c r="D5" s="11" t="s">
        <v>4</v>
      </c>
      <c r="E5" s="10" t="s">
        <v>3</v>
      </c>
      <c r="F5" s="11" t="s">
        <v>4</v>
      </c>
      <c r="G5" s="10" t="s">
        <v>3</v>
      </c>
      <c r="H5" s="11" t="s">
        <v>4</v>
      </c>
      <c r="I5" s="10" t="s">
        <v>3</v>
      </c>
      <c r="J5" s="22" t="s">
        <v>4</v>
      </c>
      <c r="K5" s="20"/>
      <c r="L5" s="20"/>
    </row>
    <row r="6" spans="1:13" s="28" customFormat="1" ht="34.9" customHeight="1" x14ac:dyDescent="0.2">
      <c r="A6" s="109">
        <v>1</v>
      </c>
      <c r="B6" s="233" t="s">
        <v>18</v>
      </c>
      <c r="C6" s="227">
        <v>4</v>
      </c>
      <c r="D6" s="229">
        <v>442300000</v>
      </c>
      <c r="E6" s="227"/>
      <c r="F6" s="229"/>
      <c r="G6" s="23"/>
      <c r="H6" s="24"/>
      <c r="I6" s="25"/>
      <c r="J6" s="26"/>
      <c r="K6" s="27"/>
      <c r="L6" s="27"/>
    </row>
    <row r="7" spans="1:13" s="28" customFormat="1" ht="34.9" customHeight="1" x14ac:dyDescent="0.2">
      <c r="A7" s="110"/>
      <c r="B7" s="234"/>
      <c r="C7" s="228"/>
      <c r="D7" s="230"/>
      <c r="E7" s="228"/>
      <c r="F7" s="230"/>
      <c r="G7" s="29"/>
      <c r="H7" s="30"/>
      <c r="I7" s="31"/>
      <c r="J7" s="32"/>
      <c r="K7" s="27"/>
      <c r="L7" s="27"/>
    </row>
    <row r="8" spans="1:13" s="28" customFormat="1" ht="34.9" customHeight="1" x14ac:dyDescent="0.2">
      <c r="A8" s="109">
        <v>2</v>
      </c>
      <c r="B8" s="233" t="s">
        <v>19</v>
      </c>
      <c r="C8" s="227">
        <v>2</v>
      </c>
      <c r="D8" s="235">
        <v>142582600</v>
      </c>
      <c r="E8" s="227"/>
      <c r="F8" s="231"/>
      <c r="G8" s="23"/>
      <c r="H8" s="23"/>
      <c r="I8" s="33"/>
      <c r="J8" s="34"/>
      <c r="K8" s="27"/>
      <c r="L8" s="27"/>
    </row>
    <row r="9" spans="1:13" s="28" customFormat="1" ht="34.9" customHeight="1" x14ac:dyDescent="0.2">
      <c r="A9" s="110"/>
      <c r="B9" s="234"/>
      <c r="C9" s="228"/>
      <c r="D9" s="236"/>
      <c r="E9" s="228"/>
      <c r="F9" s="232"/>
      <c r="G9" s="35"/>
      <c r="H9" s="35"/>
      <c r="I9" s="36"/>
      <c r="J9" s="37"/>
      <c r="K9" s="27"/>
      <c r="L9" s="27"/>
    </row>
    <row r="10" spans="1:13" s="28" customFormat="1" ht="34.9" customHeight="1" x14ac:dyDescent="0.2">
      <c r="A10" s="109">
        <v>3</v>
      </c>
      <c r="B10" s="233" t="s">
        <v>20</v>
      </c>
      <c r="C10" s="227">
        <v>5</v>
      </c>
      <c r="D10" s="235">
        <v>240240000</v>
      </c>
      <c r="E10" s="227"/>
      <c r="F10" s="231"/>
      <c r="G10" s="23"/>
      <c r="H10" s="23"/>
      <c r="I10" s="33"/>
      <c r="J10" s="34"/>
      <c r="K10" s="27"/>
      <c r="L10" s="27"/>
    </row>
    <row r="11" spans="1:13" s="28" customFormat="1" ht="34.9" customHeight="1" x14ac:dyDescent="0.2">
      <c r="A11" s="110"/>
      <c r="B11" s="234"/>
      <c r="C11" s="228"/>
      <c r="D11" s="236"/>
      <c r="E11" s="228"/>
      <c r="F11" s="232"/>
      <c r="G11" s="35"/>
      <c r="H11" s="35"/>
      <c r="I11" s="36"/>
      <c r="J11" s="37"/>
      <c r="K11" s="27"/>
      <c r="L11" s="27"/>
    </row>
    <row r="12" spans="1:13" s="28" customFormat="1" ht="34.9" customHeight="1" x14ac:dyDescent="0.2">
      <c r="A12" s="109">
        <v>4</v>
      </c>
      <c r="B12" s="233" t="s">
        <v>21</v>
      </c>
      <c r="C12" s="227">
        <v>3</v>
      </c>
      <c r="D12" s="235">
        <v>130880500</v>
      </c>
      <c r="E12" s="227"/>
      <c r="F12" s="231"/>
      <c r="G12" s="23"/>
      <c r="H12" s="23"/>
      <c r="I12" s="33"/>
      <c r="J12" s="34"/>
      <c r="K12" s="27"/>
      <c r="L12" s="27"/>
    </row>
    <row r="13" spans="1:13" s="28" customFormat="1" ht="34.9" customHeight="1" x14ac:dyDescent="0.2">
      <c r="A13" s="110"/>
      <c r="B13" s="234"/>
      <c r="C13" s="228"/>
      <c r="D13" s="236"/>
      <c r="E13" s="228"/>
      <c r="F13" s="232"/>
      <c r="G13" s="35"/>
      <c r="H13" s="35"/>
      <c r="I13" s="36"/>
      <c r="J13" s="37"/>
      <c r="K13" s="27"/>
      <c r="L13" s="27"/>
    </row>
    <row r="14" spans="1:13" s="28" customFormat="1" ht="34.9" customHeight="1" x14ac:dyDescent="0.2">
      <c r="A14" s="109">
        <v>5</v>
      </c>
      <c r="B14" s="233" t="s">
        <v>22</v>
      </c>
      <c r="C14" s="227">
        <v>1</v>
      </c>
      <c r="D14" s="235">
        <v>21260700</v>
      </c>
      <c r="E14" s="227"/>
      <c r="F14" s="231"/>
      <c r="G14" s="23"/>
      <c r="H14" s="23"/>
      <c r="I14" s="33"/>
      <c r="J14" s="34"/>
      <c r="K14" s="27"/>
      <c r="L14" s="27"/>
      <c r="M14" s="38"/>
    </row>
    <row r="15" spans="1:13" s="28" customFormat="1" ht="34.9" customHeight="1" x14ac:dyDescent="0.2">
      <c r="A15" s="110"/>
      <c r="B15" s="234"/>
      <c r="C15" s="228"/>
      <c r="D15" s="236"/>
      <c r="E15" s="228"/>
      <c r="F15" s="232"/>
      <c r="G15" s="35"/>
      <c r="H15" s="35"/>
      <c r="I15" s="36"/>
      <c r="J15" s="37"/>
      <c r="K15" s="27"/>
      <c r="L15" s="27"/>
    </row>
    <row r="16" spans="1:13" s="28" customFormat="1" ht="34.9" customHeight="1" thickBot="1" x14ac:dyDescent="0.25">
      <c r="A16" s="238" t="s">
        <v>23</v>
      </c>
      <c r="B16" s="239"/>
      <c r="C16" s="50">
        <f>C6+C8+C10+C12+C14</f>
        <v>15</v>
      </c>
      <c r="D16" s="50">
        <f>D6+D8+D10+D12+D14</f>
        <v>977263800</v>
      </c>
      <c r="E16" s="40"/>
      <c r="F16" s="39"/>
      <c r="G16" s="41"/>
      <c r="H16" s="41"/>
      <c r="I16" s="40"/>
      <c r="J16" s="42"/>
      <c r="K16" s="43"/>
      <c r="L16" s="43"/>
    </row>
    <row r="17" spans="1:12" s="49" customFormat="1" ht="21" x14ac:dyDescent="0.2">
      <c r="A17" s="240" t="s">
        <v>6</v>
      </c>
      <c r="B17" s="241"/>
      <c r="C17" s="44" t="s">
        <v>10</v>
      </c>
      <c r="D17" s="77">
        <v>4000000</v>
      </c>
      <c r="E17" s="44"/>
      <c r="F17" s="45"/>
      <c r="G17" s="46"/>
      <c r="H17" s="46"/>
      <c r="I17" s="47"/>
      <c r="J17" s="48"/>
      <c r="K17" s="43"/>
      <c r="L17" s="43"/>
    </row>
    <row r="18" spans="1:12" s="49" customFormat="1" ht="21.75" thickBot="1" x14ac:dyDescent="0.25">
      <c r="A18" s="242" t="s">
        <v>5</v>
      </c>
      <c r="B18" s="243"/>
      <c r="C18" s="50">
        <f>SUM(C6:C14)</f>
        <v>15</v>
      </c>
      <c r="D18" s="50">
        <f>D16+D17</f>
        <v>981263800</v>
      </c>
      <c r="E18" s="50"/>
      <c r="F18" s="51"/>
      <c r="G18" s="52"/>
      <c r="H18" s="52"/>
      <c r="I18" s="50"/>
      <c r="J18" s="53"/>
      <c r="K18" s="43"/>
      <c r="L18" s="43"/>
    </row>
    <row r="19" spans="1:12" s="19" customFormat="1" ht="29.25" customHeight="1" x14ac:dyDescent="0.2">
      <c r="A19" s="54" t="s">
        <v>26</v>
      </c>
      <c r="B19" s="55"/>
      <c r="C19" s="55"/>
      <c r="D19" s="55"/>
      <c r="E19" s="55"/>
      <c r="F19" s="56"/>
      <c r="G19" s="57"/>
      <c r="H19" s="57"/>
      <c r="I19" s="58"/>
      <c r="J19" s="58"/>
    </row>
    <row r="20" spans="1:12" s="19" customFormat="1" ht="21" x14ac:dyDescent="0.35">
      <c r="A20" s="75" t="s">
        <v>13</v>
      </c>
      <c r="B20" s="55"/>
      <c r="C20" s="55"/>
      <c r="D20" s="55"/>
      <c r="E20" s="55"/>
      <c r="F20" s="56"/>
      <c r="G20" s="57"/>
      <c r="H20" s="57"/>
      <c r="I20" s="58"/>
      <c r="J20" s="58"/>
    </row>
    <row r="21" spans="1:12" s="49" customFormat="1" ht="21" x14ac:dyDescent="0.35">
      <c r="A21" s="76" t="s">
        <v>14</v>
      </c>
      <c r="B21" s="17"/>
      <c r="C21" s="17"/>
      <c r="D21" s="17"/>
      <c r="E21" s="17"/>
      <c r="F21" s="59"/>
      <c r="G21" s="60"/>
      <c r="H21" s="61"/>
      <c r="I21" s="58"/>
      <c r="J21" s="58"/>
    </row>
    <row r="22" spans="1:12" s="66" customFormat="1" ht="19.5" customHeight="1" x14ac:dyDescent="0.35">
      <c r="A22" s="76" t="s">
        <v>16</v>
      </c>
      <c r="B22" s="63"/>
      <c r="C22" s="64"/>
      <c r="D22" s="64"/>
      <c r="E22" s="65"/>
      <c r="F22" s="65"/>
      <c r="G22" s="64"/>
      <c r="H22" s="64"/>
      <c r="I22" s="58"/>
      <c r="J22" s="58"/>
    </row>
    <row r="23" spans="1:12" s="66" customFormat="1" ht="18.75" customHeight="1" x14ac:dyDescent="0.35">
      <c r="A23" s="75" t="s">
        <v>15</v>
      </c>
      <c r="B23" s="64"/>
      <c r="C23" s="64"/>
      <c r="D23" s="64"/>
      <c r="E23" s="67"/>
      <c r="F23" s="64"/>
      <c r="G23" s="64"/>
      <c r="H23" s="64"/>
      <c r="I23" s="58"/>
      <c r="J23" s="58"/>
    </row>
    <row r="24" spans="1:12" s="66" customFormat="1" ht="18.75" customHeight="1" x14ac:dyDescent="0.3">
      <c r="A24" s="70"/>
      <c r="B24" s="64"/>
      <c r="C24" s="64"/>
      <c r="D24" s="64"/>
      <c r="E24" s="67"/>
      <c r="F24" s="64"/>
      <c r="G24" s="64"/>
      <c r="H24" s="64"/>
      <c r="I24" s="58"/>
      <c r="J24" s="58"/>
    </row>
    <row r="25" spans="1:12" s="66" customFormat="1" ht="18.75" customHeight="1" x14ac:dyDescent="0.3">
      <c r="A25" s="70"/>
      <c r="B25" s="64"/>
      <c r="C25" s="64"/>
      <c r="D25" s="64"/>
      <c r="E25" s="67"/>
      <c r="F25" s="64"/>
      <c r="G25" s="64"/>
      <c r="H25" s="64"/>
      <c r="I25" s="58"/>
      <c r="J25" s="58"/>
    </row>
    <row r="26" spans="1:12" s="66" customFormat="1" ht="18.75" customHeight="1" x14ac:dyDescent="0.3">
      <c r="A26" s="70"/>
      <c r="B26" s="64"/>
      <c r="C26" s="64"/>
      <c r="D26" s="64"/>
      <c r="E26" s="67"/>
      <c r="F26" s="64"/>
      <c r="G26" s="64"/>
      <c r="H26" s="64"/>
      <c r="I26" s="58"/>
      <c r="J26" s="58"/>
    </row>
    <row r="27" spans="1:12" s="66" customFormat="1" ht="18.75" customHeight="1" x14ac:dyDescent="0.2">
      <c r="A27" s="62"/>
      <c r="B27" s="64"/>
      <c r="C27" s="64"/>
      <c r="D27" s="64"/>
      <c r="E27" s="67"/>
      <c r="F27" s="64"/>
      <c r="G27" s="64"/>
      <c r="H27" s="64"/>
      <c r="I27" s="58"/>
      <c r="J27" s="58"/>
    </row>
    <row r="28" spans="1:12" s="66" customFormat="1" ht="18.75" customHeight="1" x14ac:dyDescent="0.2">
      <c r="A28" s="62"/>
      <c r="B28" s="64"/>
      <c r="C28" s="64"/>
      <c r="D28" s="64"/>
      <c r="E28" s="67"/>
      <c r="F28" s="64"/>
      <c r="G28" s="64"/>
      <c r="H28" s="64"/>
      <c r="I28" s="58"/>
      <c r="J28" s="58"/>
    </row>
    <row r="29" spans="1:12" s="1" customFormat="1" x14ac:dyDescent="0.2">
      <c r="B29" s="3"/>
      <c r="C29" s="7"/>
      <c r="D29" s="7"/>
      <c r="E29" s="7"/>
      <c r="F29" s="7"/>
      <c r="G29" s="7"/>
      <c r="H29" s="7"/>
      <c r="K29" s="2"/>
      <c r="L29" s="2"/>
    </row>
    <row r="30" spans="1:12" s="1" customFormat="1" x14ac:dyDescent="0.2">
      <c r="B30" s="4"/>
      <c r="C30" s="8"/>
      <c r="D30" s="6"/>
      <c r="E30" s="6"/>
      <c r="F30" s="6"/>
      <c r="G30" s="6"/>
      <c r="H30" s="6"/>
      <c r="K30" s="2"/>
      <c r="L30" s="2"/>
    </row>
    <row r="31" spans="1:12" s="1" customFormat="1" x14ac:dyDescent="0.2">
      <c r="B31" s="9"/>
      <c r="C31" s="8"/>
      <c r="D31" s="6"/>
      <c r="E31" s="6"/>
      <c r="F31" s="6"/>
      <c r="G31" s="6"/>
      <c r="H31" s="6"/>
      <c r="K31" s="2"/>
      <c r="L31" s="2"/>
    </row>
    <row r="32" spans="1:12" x14ac:dyDescent="0.2">
      <c r="C32" s="7"/>
      <c r="D32" s="7"/>
      <c r="E32" s="7"/>
      <c r="F32" s="7"/>
      <c r="G32" s="7"/>
      <c r="H32" s="7"/>
    </row>
  </sheetData>
  <mergeCells count="37">
    <mergeCell ref="A1:J1"/>
    <mergeCell ref="A16:B16"/>
    <mergeCell ref="A17:B17"/>
    <mergeCell ref="A18:B18"/>
    <mergeCell ref="I2:J2"/>
    <mergeCell ref="A3:A5"/>
    <mergeCell ref="B3:B5"/>
    <mergeCell ref="C3:D4"/>
    <mergeCell ref="E3:F4"/>
    <mergeCell ref="I3:J4"/>
    <mergeCell ref="G3:H4"/>
    <mergeCell ref="C6:C7"/>
    <mergeCell ref="C8:C9"/>
    <mergeCell ref="D6:D7"/>
    <mergeCell ref="G2:H2"/>
    <mergeCell ref="B6:B7"/>
    <mergeCell ref="B8:B9"/>
    <mergeCell ref="B14:B15"/>
    <mergeCell ref="B10:B11"/>
    <mergeCell ref="B12:B13"/>
    <mergeCell ref="D8:D9"/>
    <mergeCell ref="D12:D13"/>
    <mergeCell ref="C14:C15"/>
    <mergeCell ref="D14:D15"/>
    <mergeCell ref="C10:C11"/>
    <mergeCell ref="D10:D11"/>
    <mergeCell ref="C12:C13"/>
    <mergeCell ref="E6:E7"/>
    <mergeCell ref="F6:F7"/>
    <mergeCell ref="E8:E9"/>
    <mergeCell ref="F8:F9"/>
    <mergeCell ref="E14:E15"/>
    <mergeCell ref="F14:F15"/>
    <mergeCell ref="E10:E11"/>
    <mergeCell ref="F10:F11"/>
    <mergeCell ref="E12:E13"/>
    <mergeCell ref="F12:F13"/>
  </mergeCells>
  <printOptions horizontalCentered="1"/>
  <pageMargins left="0.15748031496062992" right="0.23622047244094491" top="1.1417322834645669" bottom="0.59055118110236227" header="0.31496062992125984" footer="0.31496062992125984"/>
  <pageSetup paperSize="9" scale="8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6"/>
  <sheetViews>
    <sheetView workbookViewId="0">
      <selection activeCell="E5" sqref="E5:F12"/>
    </sheetView>
  </sheetViews>
  <sheetFormatPr defaultRowHeight="14.25" x14ac:dyDescent="0.2"/>
  <cols>
    <col min="1" max="1" width="9" style="97"/>
    <col min="2" max="2" width="42.625" style="97" customWidth="1"/>
    <col min="3" max="6" width="20.625" style="97" customWidth="1"/>
    <col min="7" max="8" width="20.625" style="97" hidden="1" customWidth="1"/>
    <col min="9" max="10" width="20.625" style="97" customWidth="1"/>
    <col min="11" max="16384" width="9" style="97"/>
  </cols>
  <sheetData>
    <row r="2" spans="1:10" x14ac:dyDescent="0.2">
      <c r="C2" s="262" t="s">
        <v>173</v>
      </c>
      <c r="D2" s="262"/>
      <c r="E2" s="262" t="s">
        <v>174</v>
      </c>
      <c r="F2" s="262"/>
      <c r="I2" s="263" t="s">
        <v>175</v>
      </c>
      <c r="J2" s="263"/>
    </row>
    <row r="3" spans="1:10" ht="21" x14ac:dyDescent="0.35">
      <c r="A3" s="114" t="s">
        <v>170</v>
      </c>
      <c r="B3" s="114" t="s">
        <v>169</v>
      </c>
      <c r="C3" s="114" t="s">
        <v>168</v>
      </c>
      <c r="D3" s="114" t="s">
        <v>29</v>
      </c>
      <c r="E3" s="114" t="s">
        <v>168</v>
      </c>
      <c r="F3" s="114" t="s">
        <v>29</v>
      </c>
      <c r="G3" s="120" t="s">
        <v>172</v>
      </c>
      <c r="H3" s="120" t="s">
        <v>31</v>
      </c>
      <c r="I3" s="114" t="s">
        <v>168</v>
      </c>
      <c r="J3" s="114" t="s">
        <v>29</v>
      </c>
    </row>
    <row r="4" spans="1:10" ht="39.950000000000003" customHeight="1" x14ac:dyDescent="0.35">
      <c r="A4" s="113">
        <v>1</v>
      </c>
      <c r="B4" s="115" t="s">
        <v>160</v>
      </c>
      <c r="C4" s="114"/>
      <c r="D4" s="117"/>
      <c r="E4" s="114"/>
      <c r="F4" s="114"/>
      <c r="G4" s="120"/>
      <c r="H4" s="120"/>
      <c r="I4" s="114"/>
      <c r="J4" s="114"/>
    </row>
    <row r="5" spans="1:10" ht="39.950000000000003" customHeight="1" x14ac:dyDescent="0.35">
      <c r="A5" s="113">
        <v>1.1000000000000001</v>
      </c>
      <c r="B5" s="115" t="s">
        <v>167</v>
      </c>
      <c r="C5" s="114" t="e">
        <f>SUM('แยกประเภทส่วน 1'!C5+'แยกประเภทส่วน 2'!C5)</f>
        <v>#REF!</v>
      </c>
      <c r="D5" s="117" t="e">
        <f>SUM('แยกประเภทส่วน 1'!D5+'แยกประเภทส่วน 2'!E5)</f>
        <v>#REF!</v>
      </c>
      <c r="E5" s="114" t="e">
        <f>SUM('แยกประเภทส่วน 1'!E5+'แยกประเภทส่วน 2'!E5)</f>
        <v>#REF!</v>
      </c>
      <c r="F5" s="117" t="e">
        <f>SUM('แยกประเภทส่วน 1'!F5+'แยกประเภทส่วน 2'!F5)</f>
        <v>#REF!</v>
      </c>
      <c r="G5" s="121"/>
      <c r="H5" s="121"/>
      <c r="I5" s="114" t="e">
        <f>SUM('แยกประเภทส่วน 1'!K5+'แยกประเภทส่วน 2'!I5)</f>
        <v>#REF!</v>
      </c>
      <c r="J5" s="118" t="e">
        <f>SUM('แยกประเภทส่วน 1'!L5+'แยกประเภทส่วน 2'!J5)</f>
        <v>#REF!</v>
      </c>
    </row>
    <row r="6" spans="1:10" ht="39.950000000000003" customHeight="1" x14ac:dyDescent="0.35">
      <c r="A6" s="113">
        <v>1.2</v>
      </c>
      <c r="B6" s="115" t="s">
        <v>161</v>
      </c>
      <c r="C6" s="114" t="e">
        <f>SUM('แยกประเภทส่วน 1'!C6+'แยกประเภทส่วน 2'!C6)</f>
        <v>#REF!</v>
      </c>
      <c r="D6" s="117" t="e">
        <f>SUM('แยกประเภทส่วน 1'!D6+'แยกประเภทส่วน 2'!E6)</f>
        <v>#REF!</v>
      </c>
      <c r="E6" s="114" t="e">
        <f>SUM('แยกประเภทส่วน 1'!E6+'แยกประเภทส่วน 2'!E6)</f>
        <v>#REF!</v>
      </c>
      <c r="F6" s="117" t="e">
        <f>SUM('แยกประเภทส่วน 1'!F6+'แยกประเภทส่วน 2'!F6)</f>
        <v>#REF!</v>
      </c>
      <c r="G6" s="121"/>
      <c r="H6" s="121"/>
      <c r="I6" s="114" t="e">
        <f>SUM('แยกประเภทส่วน 1'!K6+'แยกประเภทส่วน 2'!I6)</f>
        <v>#REF!</v>
      </c>
      <c r="J6" s="118" t="e">
        <f>SUM('แยกประเภทส่วน 1'!L6+'แยกประเภทส่วน 2'!J6)</f>
        <v>#REF!</v>
      </c>
    </row>
    <row r="7" spans="1:10" ht="39.950000000000003" customHeight="1" x14ac:dyDescent="0.35">
      <c r="A7" s="113">
        <v>2</v>
      </c>
      <c r="B7" s="115" t="s">
        <v>162</v>
      </c>
      <c r="C7" s="114" t="e">
        <f>SUM('แยกประเภทส่วน 1'!C7+'แยกประเภทส่วน 2'!C7)</f>
        <v>#REF!</v>
      </c>
      <c r="D7" s="117" t="e">
        <f>SUM('แยกประเภทส่วน 1'!D7+'แยกประเภทส่วน 2'!E7)</f>
        <v>#REF!</v>
      </c>
      <c r="E7" s="114" t="e">
        <f>SUM('แยกประเภทส่วน 1'!E7+'แยกประเภทส่วน 2'!E7)</f>
        <v>#REF!</v>
      </c>
      <c r="F7" s="117" t="e">
        <f>SUM('แยกประเภทส่วน 1'!F7+'แยกประเภทส่วน 2'!F7)</f>
        <v>#REF!</v>
      </c>
      <c r="G7" s="121"/>
      <c r="H7" s="121"/>
      <c r="I7" s="114" t="e">
        <f>SUM('แยกประเภทส่วน 1'!K7+'แยกประเภทส่วน 2'!I7)</f>
        <v>#REF!</v>
      </c>
      <c r="J7" s="118" t="e">
        <f>SUM('แยกประเภทส่วน 1'!L7+'แยกประเภทส่วน 2'!J7)</f>
        <v>#REF!</v>
      </c>
    </row>
    <row r="8" spans="1:10" ht="39.950000000000003" customHeight="1" x14ac:dyDescent="0.35">
      <c r="A8" s="113">
        <v>3</v>
      </c>
      <c r="B8" s="115" t="s">
        <v>163</v>
      </c>
      <c r="C8" s="114" t="e">
        <f>SUM('แยกประเภทส่วน 1'!C8+'แยกประเภทส่วน 2'!C8)</f>
        <v>#REF!</v>
      </c>
      <c r="D8" s="117" t="e">
        <f>SUM('แยกประเภทส่วน 1'!D8+'แยกประเภทส่วน 2'!E8)</f>
        <v>#REF!</v>
      </c>
      <c r="E8" s="114" t="e">
        <f>SUM('แยกประเภทส่วน 1'!E8+'แยกประเภทส่วน 2'!E8)</f>
        <v>#REF!</v>
      </c>
      <c r="F8" s="117" t="e">
        <f>SUM('แยกประเภทส่วน 1'!F8+'แยกประเภทส่วน 2'!F8)</f>
        <v>#REF!</v>
      </c>
      <c r="G8" s="121"/>
      <c r="H8" s="121"/>
      <c r="I8" s="114" t="e">
        <f>SUM('แยกประเภทส่วน 1'!K8+'แยกประเภทส่วน 2'!I8)</f>
        <v>#REF!</v>
      </c>
      <c r="J8" s="118" t="e">
        <f>SUM('แยกประเภทส่วน 1'!L8+'แยกประเภทส่วน 2'!J8)</f>
        <v>#REF!</v>
      </c>
    </row>
    <row r="9" spans="1:10" ht="39.950000000000003" customHeight="1" x14ac:dyDescent="0.35">
      <c r="A9" s="113">
        <v>4</v>
      </c>
      <c r="B9" s="115" t="s">
        <v>164</v>
      </c>
      <c r="C9" s="114" t="e">
        <f>SUM('แยกประเภทส่วน 1'!C9+'แยกประเภทส่วน 2'!C9)</f>
        <v>#REF!</v>
      </c>
      <c r="D9" s="117" t="e">
        <f>SUM('แยกประเภทส่วน 1'!D9+'แยกประเภทส่วน 2'!E9)</f>
        <v>#REF!</v>
      </c>
      <c r="E9" s="114" t="e">
        <f>SUM('แยกประเภทส่วน 1'!E9+'แยกประเภทส่วน 2'!E9)</f>
        <v>#REF!</v>
      </c>
      <c r="F9" s="117" t="e">
        <f>SUM('แยกประเภทส่วน 1'!F9+'แยกประเภทส่วน 2'!F9)</f>
        <v>#REF!</v>
      </c>
      <c r="G9" s="121"/>
      <c r="H9" s="121"/>
      <c r="I9" s="114" t="e">
        <f>SUM('แยกประเภทส่วน 1'!K9+'แยกประเภทส่วน 2'!I9)</f>
        <v>#REF!</v>
      </c>
      <c r="J9" s="118" t="e">
        <f>SUM('แยกประเภทส่วน 1'!L9+'แยกประเภทส่วน 2'!J9)</f>
        <v>#REF!</v>
      </c>
    </row>
    <row r="10" spans="1:10" ht="39.950000000000003" customHeight="1" x14ac:dyDescent="0.35">
      <c r="A10" s="113">
        <v>5</v>
      </c>
      <c r="B10" s="115" t="s">
        <v>171</v>
      </c>
      <c r="C10" s="114" t="e">
        <f>SUM('แยกประเภทส่วน 1'!C10+'แยกประเภทส่วน 2'!C10)</f>
        <v>#REF!</v>
      </c>
      <c r="D10" s="117" t="e">
        <f>SUM('แยกประเภทส่วน 1'!D10+'แยกประเภทส่วน 2'!E10)</f>
        <v>#REF!</v>
      </c>
      <c r="E10" s="114" t="e">
        <f>SUM('แยกประเภทส่วน 1'!E10+'แยกประเภทส่วน 2'!E10)</f>
        <v>#REF!</v>
      </c>
      <c r="F10" s="117" t="e">
        <f>SUM('แยกประเภทส่วน 1'!F10+'แยกประเภทส่วน 2'!F10)</f>
        <v>#REF!</v>
      </c>
      <c r="G10" s="121"/>
      <c r="H10" s="121"/>
      <c r="I10" s="114" t="e">
        <f>SUM('แยกประเภทส่วน 1'!K10+'แยกประเภทส่วน 2'!I10)</f>
        <v>#REF!</v>
      </c>
      <c r="J10" s="118" t="e">
        <f>SUM('แยกประเภทส่วน 1'!L10+'แยกประเภทส่วน 2'!J10)</f>
        <v>#REF!</v>
      </c>
    </row>
    <row r="11" spans="1:10" ht="39.950000000000003" customHeight="1" x14ac:dyDescent="0.35">
      <c r="A11" s="113">
        <v>6</v>
      </c>
      <c r="B11" s="115" t="s">
        <v>165</v>
      </c>
      <c r="C11" s="114" t="e">
        <f>SUM('แยกประเภทส่วน 1'!C11+'แยกประเภทส่วน 2'!C11)</f>
        <v>#REF!</v>
      </c>
      <c r="D11" s="117" t="e">
        <f>SUM('แยกประเภทส่วน 1'!D11+'แยกประเภทส่วน 2'!E11)</f>
        <v>#REF!</v>
      </c>
      <c r="E11" s="114" t="e">
        <f>SUM('แยกประเภทส่วน 1'!E11+'แยกประเภทส่วน 2'!E11)</f>
        <v>#REF!</v>
      </c>
      <c r="F11" s="117" t="e">
        <f>SUM('แยกประเภทส่วน 1'!F11+'แยกประเภทส่วน 2'!F11)</f>
        <v>#REF!</v>
      </c>
      <c r="G11" s="121"/>
      <c r="H11" s="121"/>
      <c r="I11" s="114" t="e">
        <f>SUM('แยกประเภทส่วน 1'!K11+'แยกประเภทส่วน 2'!I11)</f>
        <v>#REF!</v>
      </c>
      <c r="J11" s="118" t="e">
        <f>SUM('แยกประเภทส่วน 1'!L11+'แยกประเภทส่วน 2'!J11)</f>
        <v>#REF!</v>
      </c>
    </row>
    <row r="12" spans="1:10" ht="39.950000000000003" customHeight="1" x14ac:dyDescent="0.35">
      <c r="A12" s="113">
        <v>7</v>
      </c>
      <c r="B12" s="115" t="s">
        <v>166</v>
      </c>
      <c r="C12" s="114" t="e">
        <f>SUM('แยกประเภทส่วน 1'!C12+'แยกประเภทส่วน 2'!C12)</f>
        <v>#REF!</v>
      </c>
      <c r="D12" s="117" t="e">
        <f>SUM('แยกประเภทส่วน 1'!D12+'แยกประเภทส่วน 2'!E12)</f>
        <v>#REF!</v>
      </c>
      <c r="E12" s="114" t="e">
        <f>SUM('แยกประเภทส่วน 1'!E12+'แยกประเภทส่วน 2'!E12)</f>
        <v>#REF!</v>
      </c>
      <c r="F12" s="117" t="e">
        <f>SUM('แยกประเภทส่วน 1'!F12+'แยกประเภทส่วน 2'!F12)</f>
        <v>#REF!</v>
      </c>
      <c r="G12" s="121"/>
      <c r="H12" s="121"/>
      <c r="I12" s="114" t="e">
        <f>SUM('แยกประเภทส่วน 1'!K12+'แยกประเภทส่วน 2'!I12)</f>
        <v>#REF!</v>
      </c>
      <c r="J12" s="118" t="e">
        <f>SUM('แยกประเภทส่วน 1'!L12+'แยกประเภทส่วน 2'!J12)</f>
        <v>#REF!</v>
      </c>
    </row>
    <row r="13" spans="1:10" ht="21" x14ac:dyDescent="0.2">
      <c r="B13" s="116" t="s">
        <v>33</v>
      </c>
      <c r="C13" s="97" t="e">
        <f>SUM(C5:C12)</f>
        <v>#REF!</v>
      </c>
      <c r="D13" s="97" t="e">
        <f>SUM(D5:D12)</f>
        <v>#REF!</v>
      </c>
      <c r="E13" s="97" t="e">
        <f t="shared" ref="E13:F13" si="0">SUM(E5:E12)</f>
        <v>#REF!</v>
      </c>
      <c r="F13" s="124" t="e">
        <f t="shared" si="0"/>
        <v>#REF!</v>
      </c>
      <c r="G13" s="97">
        <f t="shared" ref="G13:J13" si="1">SUM(G5:G12)</f>
        <v>0</v>
      </c>
      <c r="H13" s="97">
        <f t="shared" si="1"/>
        <v>0</v>
      </c>
      <c r="I13" s="97" t="e">
        <f t="shared" si="1"/>
        <v>#REF!</v>
      </c>
      <c r="J13" s="97" t="e">
        <f t="shared" si="1"/>
        <v>#REF!</v>
      </c>
    </row>
    <row r="16" spans="1:10" x14ac:dyDescent="0.2">
      <c r="B16" s="123" t="e">
        <f>SUM(#REF!+#REF!+#REF!)</f>
        <v>#REF!</v>
      </c>
    </row>
  </sheetData>
  <mergeCells count="3">
    <mergeCell ref="C2:D2"/>
    <mergeCell ref="E2:F2"/>
    <mergeCell ref="I2:J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opLeftCell="C1" workbookViewId="0">
      <selection activeCell="H13" sqref="H13"/>
    </sheetView>
  </sheetViews>
  <sheetFormatPr defaultRowHeight="14.25" x14ac:dyDescent="0.2"/>
  <cols>
    <col min="2" max="2" width="42.625" customWidth="1"/>
    <col min="3" max="4" width="20.625" customWidth="1"/>
    <col min="5" max="6" width="20.625" style="97" customWidth="1"/>
    <col min="7" max="8" width="20.625" customWidth="1"/>
    <col min="9" max="10" width="20.625" style="97" customWidth="1"/>
    <col min="11" max="12" width="20.625" customWidth="1"/>
  </cols>
  <sheetData>
    <row r="1" spans="1:12" s="97" customFormat="1" x14ac:dyDescent="0.2"/>
    <row r="2" spans="1:12" x14ac:dyDescent="0.2">
      <c r="C2" s="262" t="s">
        <v>173</v>
      </c>
      <c r="D2" s="262"/>
      <c r="E2" s="119"/>
      <c r="F2" s="119"/>
      <c r="G2" s="119" t="s">
        <v>174</v>
      </c>
      <c r="K2" s="263" t="s">
        <v>175</v>
      </c>
      <c r="L2" s="263"/>
    </row>
    <row r="3" spans="1:12" ht="21" x14ac:dyDescent="0.35">
      <c r="A3" s="114" t="s">
        <v>170</v>
      </c>
      <c r="B3" s="114" t="s">
        <v>169</v>
      </c>
      <c r="C3" s="114" t="s">
        <v>168</v>
      </c>
      <c r="D3" s="114" t="s">
        <v>29</v>
      </c>
      <c r="E3" s="114"/>
      <c r="F3" s="114"/>
      <c r="G3" s="114" t="s">
        <v>168</v>
      </c>
      <c r="H3" s="120" t="s">
        <v>172</v>
      </c>
      <c r="I3" s="120"/>
      <c r="J3" s="120" t="s">
        <v>31</v>
      </c>
      <c r="K3" s="114" t="s">
        <v>168</v>
      </c>
      <c r="L3" s="114" t="s">
        <v>29</v>
      </c>
    </row>
    <row r="4" spans="1:12" ht="39.950000000000003" customHeight="1" x14ac:dyDescent="0.35">
      <c r="A4" s="113">
        <v>1</v>
      </c>
      <c r="B4" s="115" t="s">
        <v>160</v>
      </c>
      <c r="C4" s="114"/>
      <c r="D4" s="117"/>
      <c r="E4" s="117"/>
      <c r="F4" s="117"/>
      <c r="G4" s="114"/>
      <c r="H4" s="120"/>
      <c r="I4" s="120"/>
      <c r="J4" s="120"/>
      <c r="K4" s="114"/>
      <c r="L4" s="114"/>
    </row>
    <row r="5" spans="1:12" ht="39.950000000000003" customHeight="1" x14ac:dyDescent="0.35">
      <c r="A5" s="113">
        <v>1.1000000000000001</v>
      </c>
      <c r="B5" s="115" t="s">
        <v>167</v>
      </c>
      <c r="C5" s="114">
        <f>COUNTIF('ผลการพิจารณา ก.บ.ภ.'!$AH$4:$AH$62,1)</f>
        <v>6</v>
      </c>
      <c r="D5" s="117">
        <f>SUMIF('ผลการพิจารณา ก.บ.ภ.'!$AH$4:$AH$62,1,'ผลการพิจารณา ก.บ.ภ.'!$D$4:$D$62)</f>
        <v>248500000</v>
      </c>
      <c r="E5" s="117">
        <f>SUM(G5+I5)</f>
        <v>6</v>
      </c>
      <c r="F5" s="117">
        <f>SUM(H5+J5)</f>
        <v>248500000</v>
      </c>
      <c r="G5" s="114">
        <f>COUNTIFS('ผลการพิจารณา ก.บ.ภ.'!$AH$4:$AH$62,1,'ผลการพิจารณา ก.บ.ภ.'!E4:$E$62,"&gt;0")</f>
        <v>5</v>
      </c>
      <c r="H5" s="121">
        <f>SUMIFS('ผลการพิจารณา ก.บ.ภ.'!E4:$E$62,'ผลการพิจารณา ก.บ.ภ.'!AH4:$AH$62,1,'ผลการพิจารณา ก.บ.ภ.'!$E$4:$E$62,"&gt;0")</f>
        <v>199500000</v>
      </c>
      <c r="I5" s="121">
        <f>COUNTIFS('ผลการพิจารณา ก.บ.ภ.'!$AH$4:$AH$64,1,'ผลการพิจารณา ก.บ.ภ.'!F4:$F$64,"&gt;0")</f>
        <v>1</v>
      </c>
      <c r="J5" s="121">
        <f>SUMIFS('ผลการพิจารณา ก.บ.ภ.'!$F$4:$F$62,'ผลการพิจารณา ก.บ.ภ.'!$AH$4:$AH$62,1)</f>
        <v>49000000</v>
      </c>
      <c r="K5" s="114">
        <f t="shared" ref="K5:K12" si="0">SUM(C5-G5)</f>
        <v>1</v>
      </c>
      <c r="L5" s="118" t="e">
        <f>SUM(D5-#REF!)</f>
        <v>#REF!</v>
      </c>
    </row>
    <row r="6" spans="1:12" ht="39.950000000000003" customHeight="1" x14ac:dyDescent="0.35">
      <c r="A6" s="113">
        <v>1.2</v>
      </c>
      <c r="B6" s="115" t="s">
        <v>161</v>
      </c>
      <c r="C6" s="114">
        <f>COUNTIF('ผลการพิจารณา ก.บ.ภ.'!$AH$4:$AH$62,2)</f>
        <v>4</v>
      </c>
      <c r="D6" s="117">
        <f>SUMIF('ผลการพิจารณา ก.บ.ภ.'!$AH$4:$AH$62,2,'ผลการพิจารณา ก.บ.ภ.'!$D$4:$D$62)</f>
        <v>102000000</v>
      </c>
      <c r="E6" s="117">
        <f t="shared" ref="E6:E12" si="1">SUM(G6+I6)</f>
        <v>3</v>
      </c>
      <c r="F6" s="117">
        <f t="shared" ref="F6:F12" si="2">SUM(H6+J6)</f>
        <v>58000000</v>
      </c>
      <c r="G6" s="114">
        <f>COUNTIFS('ผลการพิจารณา ก.บ.ภ.'!$AH$4:$AH$62,2,'ผลการพิจารณา ก.บ.ภ.'!E4:$E$62,"&gt;0")</f>
        <v>3</v>
      </c>
      <c r="H6" s="121">
        <f>SUMIFS('ผลการพิจารณา ก.บ.ภ.'!E4:$E$62,'ผลการพิจารณา ก.บ.ภ.'!AH4:$AH$62,2,'ผลการพิจารณา ก.บ.ภ.'!$E$4:$E$62,"&gt;0")</f>
        <v>58000000</v>
      </c>
      <c r="I6" s="121">
        <f>COUNTIFS('ผลการพิจารณา ก.บ.ภ.'!$AH$4:$AH$64,2,'ผลการพิจารณา ก.บ.ภ.'!F4:$F$64,"&gt;0")</f>
        <v>0</v>
      </c>
      <c r="J6" s="121">
        <f>SUMIFS('ผลการพิจารณา ก.บ.ภ.'!$F$4:$F$62,'ผลการพิจารณา ก.บ.ภ.'!$AH$4:$AH$62,2)</f>
        <v>0</v>
      </c>
      <c r="K6" s="114">
        <f t="shared" si="0"/>
        <v>1</v>
      </c>
      <c r="L6" s="118" t="e">
        <f>SUM(D6-#REF!)</f>
        <v>#REF!</v>
      </c>
    </row>
    <row r="7" spans="1:12" ht="39.950000000000003" customHeight="1" x14ac:dyDescent="0.35">
      <c r="A7" s="113">
        <v>2</v>
      </c>
      <c r="B7" s="115" t="s">
        <v>162</v>
      </c>
      <c r="C7" s="114">
        <f>COUNTIF('ผลการพิจารณา ก.บ.ภ.'!$AH$4:$AH$62,3)</f>
        <v>2</v>
      </c>
      <c r="D7" s="117">
        <f>SUMIF('ผลการพิจารณา ก.บ.ภ.'!$AH$4:$AH$62,3,'ผลการพิจารณา ก.บ.ภ.'!$D$4:$D$62)</f>
        <v>19029600</v>
      </c>
      <c r="E7" s="117">
        <f t="shared" si="1"/>
        <v>0</v>
      </c>
      <c r="F7" s="117">
        <f t="shared" si="2"/>
        <v>0</v>
      </c>
      <c r="G7" s="114">
        <f>COUNTIFS('ผลการพิจารณา ก.บ.ภ.'!$AH$4:$AH$62,3,'ผลการพิจารณา ก.บ.ภ.'!E4:$E$62,"&gt;0")</f>
        <v>0</v>
      </c>
      <c r="H7" s="121">
        <f>SUMIFS('ผลการพิจารณา ก.บ.ภ.'!E4:$E$62,'ผลการพิจารณา ก.บ.ภ.'!AH4:$AH$62,3,'ผลการพิจารณา ก.บ.ภ.'!$E$4:$E$62,"&gt;0")</f>
        <v>0</v>
      </c>
      <c r="I7" s="121">
        <f>COUNTIFS('ผลการพิจารณา ก.บ.ภ.'!$AH$4:$AH$64,3,'ผลการพิจารณา ก.บ.ภ.'!F4:$F$64,"&gt;0")</f>
        <v>0</v>
      </c>
      <c r="J7" s="121">
        <f>SUMIFS('ผลการพิจารณา ก.บ.ภ.'!$F$4:$F$62,'ผลการพิจารณา ก.บ.ภ.'!$AH$4:$AH$62,3)</f>
        <v>0</v>
      </c>
      <c r="K7" s="114">
        <f t="shared" si="0"/>
        <v>2</v>
      </c>
      <c r="L7" s="118" t="e">
        <f>SUM(D7-#REF!)</f>
        <v>#REF!</v>
      </c>
    </row>
    <row r="8" spans="1:12" ht="39.950000000000003" customHeight="1" x14ac:dyDescent="0.35">
      <c r="A8" s="113">
        <v>3</v>
      </c>
      <c r="B8" s="115" t="s">
        <v>163</v>
      </c>
      <c r="C8" s="114">
        <f>COUNTIF('ผลการพิจารณา ก.บ.ภ.'!$AH$4:$AH$62,4)</f>
        <v>1</v>
      </c>
      <c r="D8" s="117">
        <f>SUMIF('ผลการพิจารณา ก.บ.ภ.'!$AH$4:$AH$62,4,'ผลการพิจารณา ก.บ.ภ.'!$D$4:$D$62)</f>
        <v>2905900</v>
      </c>
      <c r="E8" s="117">
        <f t="shared" si="1"/>
        <v>0</v>
      </c>
      <c r="F8" s="117">
        <f t="shared" si="2"/>
        <v>0</v>
      </c>
      <c r="G8" s="114">
        <f>COUNTIFS('ผลการพิจารณา ก.บ.ภ.'!$AH$4:$AH$62,4,'ผลการพิจารณา ก.บ.ภ.'!E4:$E$62,"&gt;0")</f>
        <v>0</v>
      </c>
      <c r="H8" s="121">
        <f>SUMIFS('ผลการพิจารณา ก.บ.ภ.'!E4:$E$62,'ผลการพิจารณา ก.บ.ภ.'!AH4:$AH$62,4,'ผลการพิจารณา ก.บ.ภ.'!$E$4:$E$62,"&gt;0")</f>
        <v>0</v>
      </c>
      <c r="I8" s="121">
        <f>COUNTIFS('ผลการพิจารณา ก.บ.ภ.'!$AH$4:$AH$64,4,'ผลการพิจารณา ก.บ.ภ.'!F4:$F$64,"&gt;0")</f>
        <v>0</v>
      </c>
      <c r="J8" s="121">
        <f>SUMIFS('ผลการพิจารณา ก.บ.ภ.'!$F$4:$F$62,'ผลการพิจารณา ก.บ.ภ.'!$AH$4:$AH$62,4)</f>
        <v>0</v>
      </c>
      <c r="K8" s="114">
        <f t="shared" si="0"/>
        <v>1</v>
      </c>
      <c r="L8" s="118" t="e">
        <f>SUM(D8-#REF!)</f>
        <v>#REF!</v>
      </c>
    </row>
    <row r="9" spans="1:12" ht="39.950000000000003" customHeight="1" x14ac:dyDescent="0.35">
      <c r="A9" s="113">
        <v>4</v>
      </c>
      <c r="B9" s="115" t="s">
        <v>164</v>
      </c>
      <c r="C9" s="114">
        <f>COUNTIF('ผลการพิจารณา ก.บ.ภ.'!$AH$4:$AH$62,5)</f>
        <v>4</v>
      </c>
      <c r="D9" s="117">
        <f>SUMIF('ผลการพิจารณา ก.บ.ภ.'!$AH$4:$AH$62,5,'ผลการพิจารณา ก.บ.ภ.'!$D$4:$D$62)</f>
        <v>33300000</v>
      </c>
      <c r="E9" s="117">
        <f t="shared" si="1"/>
        <v>0</v>
      </c>
      <c r="F9" s="117">
        <f t="shared" si="2"/>
        <v>0</v>
      </c>
      <c r="G9" s="114">
        <f>COUNTIFS('ผลการพิจารณา ก.บ.ภ.'!$AH$4:$AH$62,5,'ผลการพิจารณา ก.บ.ภ.'!E4:$E$62,"&gt;0")</f>
        <v>0</v>
      </c>
      <c r="H9" s="121">
        <f>SUMIFS('ผลการพิจารณา ก.บ.ภ.'!E4:$E$62,'ผลการพิจารณา ก.บ.ภ.'!AH4:$AH$62,5,'ผลการพิจารณา ก.บ.ภ.'!$E$4:$E$62,"&gt;0")</f>
        <v>0</v>
      </c>
      <c r="I9" s="121">
        <f>COUNTIFS('ผลการพิจารณา ก.บ.ภ.'!$AH$4:$AH$64,5,'ผลการพิจารณา ก.บ.ภ.'!F4:$F$64,"&gt;0")</f>
        <v>0</v>
      </c>
      <c r="J9" s="121">
        <f>SUMIFS('ผลการพิจารณา ก.บ.ภ.'!$F$4:$F$62,'ผลการพิจารณา ก.บ.ภ.'!$AH$4:$AH$62,5)</f>
        <v>0</v>
      </c>
      <c r="K9" s="114">
        <f t="shared" si="0"/>
        <v>4</v>
      </c>
      <c r="L9" s="118" t="e">
        <f>SUM(D9-#REF!)</f>
        <v>#REF!</v>
      </c>
    </row>
    <row r="10" spans="1:12" ht="39.950000000000003" customHeight="1" x14ac:dyDescent="0.35">
      <c r="A10" s="113">
        <v>5</v>
      </c>
      <c r="B10" s="115" t="s">
        <v>171</v>
      </c>
      <c r="C10" s="114">
        <f>COUNTIF('ผลการพิจารณา ก.บ.ภ.'!$AH$4:$AH$62,6)</f>
        <v>1</v>
      </c>
      <c r="D10" s="117">
        <f>SUMIF('ผลการพิจารณา ก.บ.ภ.'!$AH$4:$AH$62,6,'ผลการพิจารณา ก.บ.ภ.'!$D$4:$D$62)</f>
        <v>9015880</v>
      </c>
      <c r="E10" s="117">
        <f t="shared" si="1"/>
        <v>1</v>
      </c>
      <c r="F10" s="117">
        <f t="shared" si="2"/>
        <v>4014580</v>
      </c>
      <c r="G10" s="114">
        <f>COUNTIFS('ผลการพิจารณา ก.บ.ภ.'!$AH$4:$AH$62,6,'ผลการพิจารณา ก.บ.ภ.'!E4:$E$62,"&gt;0")</f>
        <v>0</v>
      </c>
      <c r="H10" s="121">
        <f>SUMIFS('ผลการพิจารณา ก.บ.ภ.'!E4:$E$62,'ผลการพิจารณา ก.บ.ภ.'!AH4:$AH$62,6,'ผลการพิจารณา ก.บ.ภ.'!$E$4:$E$62,"&gt;0")</f>
        <v>0</v>
      </c>
      <c r="I10" s="121">
        <f>COUNTIFS('ผลการพิจารณา ก.บ.ภ.'!$AH$4:$AH$64,6,'ผลการพิจารณา ก.บ.ภ.'!F4:$F$64,"&gt;0")</f>
        <v>1</v>
      </c>
      <c r="J10" s="121">
        <f>SUMIFS('ผลการพิจารณา ก.บ.ภ.'!$F$4:$F$62,'ผลการพิจารณา ก.บ.ภ.'!$AH$4:$AH$62,6)</f>
        <v>4014580</v>
      </c>
      <c r="K10" s="114">
        <f t="shared" si="0"/>
        <v>1</v>
      </c>
      <c r="L10" s="118" t="e">
        <f>SUM(D10-#REF!)</f>
        <v>#REF!</v>
      </c>
    </row>
    <row r="11" spans="1:12" ht="39.950000000000003" customHeight="1" x14ac:dyDescent="0.35">
      <c r="A11" s="113">
        <v>6</v>
      </c>
      <c r="B11" s="115" t="s">
        <v>165</v>
      </c>
      <c r="C11" s="114">
        <f>COUNTIF('ผลการพิจารณา ก.บ.ภ.'!$AH$4:$AH$62,7)</f>
        <v>2</v>
      </c>
      <c r="D11" s="117">
        <f>SUMIF('ผลการพิจารณา ก.บ.ภ.'!$AH$4:$AH$62,7,'ผลการพิจารณา ก.บ.ภ.'!$D$4:$D$62)</f>
        <v>73410500</v>
      </c>
      <c r="E11" s="117">
        <f t="shared" si="1"/>
        <v>2</v>
      </c>
      <c r="F11" s="117">
        <f t="shared" si="2"/>
        <v>73410500</v>
      </c>
      <c r="G11" s="114">
        <f>COUNTIFS('ผลการพิจารณา ก.บ.ภ.'!$AH$4:$AH$62,7,'ผลการพิจารณา ก.บ.ภ.'!E4:$E$62,"&gt;0")</f>
        <v>2</v>
      </c>
      <c r="H11" s="121">
        <f>SUMIFS('ผลการพิจารณา ก.บ.ภ.'!E4:$E$62,'ผลการพิจารณา ก.บ.ภ.'!AH4:$AH$62,7,'ผลการพิจารณา ก.บ.ภ.'!$E$4:$E$62,"&gt;0")</f>
        <v>73410500</v>
      </c>
      <c r="I11" s="121">
        <f>COUNTIFS('ผลการพิจารณา ก.บ.ภ.'!$AH$4:$AH$64,7,'ผลการพิจารณา ก.บ.ภ.'!F4:$F$64,"&gt;0")</f>
        <v>0</v>
      </c>
      <c r="J11" s="121">
        <f>SUMIFS('ผลการพิจารณา ก.บ.ภ.'!$F$4:$F$62,'ผลการพิจารณา ก.บ.ภ.'!$AH$4:$AH$62,7)</f>
        <v>0</v>
      </c>
      <c r="K11" s="114">
        <f t="shared" si="0"/>
        <v>0</v>
      </c>
      <c r="L11" s="118" t="e">
        <f>SUM(D11-#REF!)</f>
        <v>#REF!</v>
      </c>
    </row>
    <row r="12" spans="1:12" ht="39.950000000000003" customHeight="1" x14ac:dyDescent="0.35">
      <c r="A12" s="113">
        <v>7</v>
      </c>
      <c r="B12" s="115" t="s">
        <v>166</v>
      </c>
      <c r="C12" s="114">
        <f>COUNTIF('ผลการพิจารณา ก.บ.ภ.'!$AH$4:$AH$64,8)</f>
        <v>3</v>
      </c>
      <c r="D12" s="117">
        <f>SUMIF('ผลการพิจารณา ก.บ.ภ.'!$AH$4:$AH$64,8,'ผลการพิจารณา ก.บ.ภ.'!$D$4:$D$64)</f>
        <v>22080000</v>
      </c>
      <c r="E12" s="117">
        <f t="shared" si="1"/>
        <v>3</v>
      </c>
      <c r="F12" s="117">
        <f t="shared" si="2"/>
        <v>22080000</v>
      </c>
      <c r="G12" s="114">
        <f>COUNTIFS('ผลการพิจารณา ก.บ.ภ.'!$AH$4:$AH$64,8,'ผลการพิจารณา ก.บ.ภ.'!E4:$E$64,"&gt;0")</f>
        <v>1</v>
      </c>
      <c r="H12" s="121">
        <f>SUMIFS('ผลการพิจารณา ก.บ.ภ.'!E4:$E$64,'ผลการพิจารณา ก.บ.ภ.'!AH4:$AH$64,8,'ผลการพิจารณา ก.บ.ภ.'!$E$4:$E$64,"&gt;0")</f>
        <v>4000000</v>
      </c>
      <c r="I12" s="121">
        <f>COUNTIFS('ผลการพิจารณา ก.บ.ภ.'!$AH$4:$AH$64,8,'ผลการพิจารณา ก.บ.ภ.'!F4:$F$64,"&gt;0")</f>
        <v>2</v>
      </c>
      <c r="J12" s="121">
        <f>SUMIFS('ผลการพิจารณา ก.บ.ภ.'!$F$4:$F$62,'ผลการพิจารณา ก.บ.ภ.'!$AH$4:$AH$62,8)</f>
        <v>18080000</v>
      </c>
      <c r="K12" s="114">
        <f t="shared" si="0"/>
        <v>2</v>
      </c>
      <c r="L12" s="118" t="e">
        <f>SUM(D12-#REF!)</f>
        <v>#REF!</v>
      </c>
    </row>
    <row r="13" spans="1:12" ht="21" x14ac:dyDescent="0.2">
      <c r="B13" s="116" t="s">
        <v>33</v>
      </c>
      <c r="C13">
        <f>SUM(C5:C12)</f>
        <v>23</v>
      </c>
      <c r="D13" s="98">
        <f>SUM(D5:D12)</f>
        <v>510241880</v>
      </c>
      <c r="E13" s="98">
        <f t="shared" ref="E13" si="3">SUM(E5:E12)</f>
        <v>15</v>
      </c>
      <c r="F13" s="98">
        <f>SUM(F5:F12)</f>
        <v>406005080</v>
      </c>
      <c r="G13" s="98">
        <f t="shared" ref="G13:J13" si="4">SUM(G5:G12)</f>
        <v>11</v>
      </c>
      <c r="H13" s="122">
        <f t="shared" si="4"/>
        <v>334910500</v>
      </c>
      <c r="I13" s="122"/>
      <c r="J13" s="122">
        <f t="shared" si="4"/>
        <v>71094580</v>
      </c>
      <c r="K13" s="98">
        <f t="shared" ref="K13" si="5">SUM(K5:K12)</f>
        <v>12</v>
      </c>
      <c r="L13" s="98" t="e">
        <f t="shared" ref="L13" si="6">SUM(L5:L12)</f>
        <v>#REF!</v>
      </c>
    </row>
  </sheetData>
  <mergeCells count="2">
    <mergeCell ref="C2:D2"/>
    <mergeCell ref="K2:L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73"/>
  <sheetViews>
    <sheetView tabSelected="1" view="pageBreakPreview" zoomScale="75" zoomScaleNormal="90" zoomScaleSheetLayoutView="75" zoomScalePageLayoutView="80" workbookViewId="0">
      <selection activeCell="H65" sqref="H65"/>
    </sheetView>
  </sheetViews>
  <sheetFormatPr defaultColWidth="9" defaultRowHeight="58.5" x14ac:dyDescent="0.3"/>
  <cols>
    <col min="1" max="1" width="6.25" style="134" customWidth="1"/>
    <col min="2" max="3" width="36.75" style="13" customWidth="1"/>
    <col min="4" max="4" width="13.5" style="125" customWidth="1"/>
    <col min="5" max="5" width="13.875" style="125" customWidth="1"/>
    <col min="6" max="6" width="13.25" style="125" customWidth="1"/>
    <col min="7" max="7" width="14.625" style="126" customWidth="1"/>
    <col min="8" max="8" width="52" style="14" customWidth="1"/>
    <col min="9" max="9" width="5" style="81" hidden="1" customWidth="1"/>
    <col min="10" max="10" width="10.25" style="84" hidden="1" customWidth="1"/>
    <col min="11" max="11" width="42.75" style="79" hidden="1" customWidth="1"/>
    <col min="12" max="12" width="39.625" style="12" hidden="1" customWidth="1"/>
    <col min="13" max="13" width="25.5" style="12" hidden="1" customWidth="1"/>
    <col min="14" max="33" width="9" style="12" hidden="1" customWidth="1"/>
    <col min="34" max="34" width="16" style="111" hidden="1" customWidth="1"/>
    <col min="35" max="38" width="9" style="12" hidden="1" customWidth="1"/>
    <col min="39" max="39" width="21.125" style="12" hidden="1" customWidth="1"/>
    <col min="40" max="40" width="0" style="12" hidden="1" customWidth="1"/>
    <col min="41" max="41" width="24.75" style="12" customWidth="1"/>
    <col min="42" max="42" width="22.375" style="12" customWidth="1"/>
    <col min="43" max="16384" width="9" style="12"/>
  </cols>
  <sheetData>
    <row r="1" spans="1:41" ht="24.95" customHeight="1" x14ac:dyDescent="0.35">
      <c r="A1" s="265" t="s">
        <v>185</v>
      </c>
      <c r="B1" s="265"/>
      <c r="C1" s="265"/>
      <c r="D1" s="265"/>
      <c r="E1" s="265"/>
      <c r="F1" s="265"/>
      <c r="G1" s="265"/>
      <c r="H1" s="265"/>
      <c r="I1" s="142"/>
      <c r="J1" s="142"/>
      <c r="K1" s="142"/>
      <c r="L1" s="143"/>
      <c r="M1" s="143"/>
      <c r="N1" s="143"/>
      <c r="O1" s="143"/>
      <c r="P1" s="143"/>
      <c r="Q1" s="143"/>
      <c r="R1" s="143"/>
      <c r="S1" s="143"/>
      <c r="T1" s="143"/>
      <c r="U1" s="143"/>
      <c r="V1" s="143"/>
      <c r="W1" s="143"/>
      <c r="X1" s="143"/>
      <c r="Y1" s="143"/>
      <c r="Z1" s="143"/>
      <c r="AA1" s="143"/>
      <c r="AB1" s="143"/>
      <c r="AC1" s="143"/>
      <c r="AD1" s="143"/>
      <c r="AE1" s="143"/>
      <c r="AF1" s="143"/>
      <c r="AG1" s="143"/>
      <c r="AH1" s="144"/>
      <c r="AI1" s="143"/>
      <c r="AJ1" s="143"/>
      <c r="AK1" s="143"/>
      <c r="AL1" s="143"/>
      <c r="AM1" s="143"/>
      <c r="AN1" s="143"/>
      <c r="AO1" s="143"/>
    </row>
    <row r="2" spans="1:41" ht="22.5" customHeight="1" x14ac:dyDescent="0.35">
      <c r="A2" s="266"/>
      <c r="B2" s="266"/>
      <c r="C2" s="266"/>
      <c r="D2" s="266"/>
      <c r="E2" s="266"/>
      <c r="F2" s="266"/>
      <c r="G2" s="266"/>
      <c r="H2" s="266"/>
      <c r="I2" s="142"/>
      <c r="J2" s="142"/>
      <c r="K2" s="142"/>
      <c r="L2" s="143"/>
      <c r="M2" s="143"/>
      <c r="N2" s="143"/>
      <c r="O2" s="143"/>
      <c r="P2" s="143"/>
      <c r="Q2" s="143"/>
      <c r="R2" s="143"/>
      <c r="S2" s="143"/>
      <c r="T2" s="143"/>
      <c r="U2" s="143"/>
      <c r="V2" s="143"/>
      <c r="W2" s="143"/>
      <c r="X2" s="143"/>
      <c r="Y2" s="143"/>
      <c r="Z2" s="143"/>
      <c r="AA2" s="143"/>
      <c r="AB2" s="143"/>
      <c r="AC2" s="143"/>
      <c r="AD2" s="143"/>
      <c r="AE2" s="143"/>
      <c r="AF2" s="143"/>
      <c r="AG2" s="143"/>
      <c r="AH2" s="144"/>
      <c r="AI2" s="143"/>
      <c r="AJ2" s="143"/>
      <c r="AK2" s="143"/>
      <c r="AL2" s="143"/>
      <c r="AM2" s="143"/>
      <c r="AN2" s="143"/>
      <c r="AO2" s="143"/>
    </row>
    <row r="3" spans="1:41" s="136" customFormat="1" ht="131.25" customHeight="1" x14ac:dyDescent="0.25">
      <c r="A3" s="145" t="s">
        <v>201</v>
      </c>
      <c r="B3" s="146" t="s">
        <v>130</v>
      </c>
      <c r="C3" s="146" t="s">
        <v>131</v>
      </c>
      <c r="D3" s="147" t="s">
        <v>132</v>
      </c>
      <c r="E3" s="147" t="s">
        <v>133</v>
      </c>
      <c r="F3" s="147" t="s">
        <v>134</v>
      </c>
      <c r="G3" s="147" t="s">
        <v>217</v>
      </c>
      <c r="H3" s="146" t="s">
        <v>135</v>
      </c>
      <c r="I3" s="209" t="s">
        <v>27</v>
      </c>
      <c r="J3" s="209"/>
      <c r="K3" s="210" t="s">
        <v>28</v>
      </c>
      <c r="L3" s="211"/>
      <c r="M3" s="211"/>
      <c r="N3" s="211"/>
      <c r="O3" s="211"/>
      <c r="P3" s="211"/>
      <c r="Q3" s="211"/>
      <c r="R3" s="211"/>
      <c r="S3" s="211"/>
      <c r="T3" s="211"/>
      <c r="U3" s="211"/>
      <c r="V3" s="211"/>
      <c r="W3" s="211"/>
      <c r="X3" s="211"/>
      <c r="Y3" s="211"/>
      <c r="Z3" s="211"/>
      <c r="AA3" s="211"/>
      <c r="AB3" s="211"/>
      <c r="AC3" s="211"/>
      <c r="AD3" s="211"/>
      <c r="AE3" s="211"/>
      <c r="AF3" s="211"/>
      <c r="AG3" s="211"/>
      <c r="AH3" s="148" t="s">
        <v>159</v>
      </c>
      <c r="AI3" s="211"/>
      <c r="AJ3" s="211"/>
      <c r="AK3" s="211"/>
      <c r="AL3" s="211"/>
      <c r="AM3" s="211"/>
      <c r="AN3" s="211"/>
      <c r="AO3" s="148" t="s">
        <v>200</v>
      </c>
    </row>
    <row r="4" spans="1:41" s="141" customFormat="1" ht="42" customHeight="1" x14ac:dyDescent="0.35">
      <c r="A4" s="267" t="s">
        <v>18</v>
      </c>
      <c r="B4" s="267"/>
      <c r="C4" s="267"/>
      <c r="D4" s="150">
        <f>D5+D12+D17+D20</f>
        <v>442300000</v>
      </c>
      <c r="E4" s="150">
        <f t="shared" ref="E4:G4" si="0">E5+E12+E17+E20</f>
        <v>310000000</v>
      </c>
      <c r="F4" s="150">
        <f t="shared" si="0"/>
        <v>0</v>
      </c>
      <c r="G4" s="150">
        <f t="shared" si="0"/>
        <v>132300000</v>
      </c>
      <c r="H4" s="149"/>
      <c r="I4" s="212"/>
      <c r="J4" s="212"/>
      <c r="K4" s="213"/>
      <c r="L4" s="151"/>
      <c r="M4" s="151"/>
      <c r="N4" s="151"/>
      <c r="O4" s="151"/>
      <c r="P4" s="151"/>
      <c r="Q4" s="151"/>
      <c r="R4" s="151"/>
      <c r="S4" s="151"/>
      <c r="T4" s="151"/>
      <c r="U4" s="151"/>
      <c r="V4" s="151"/>
      <c r="W4" s="151"/>
      <c r="X4" s="151"/>
      <c r="Y4" s="151"/>
      <c r="Z4" s="151"/>
      <c r="AA4" s="151"/>
      <c r="AB4" s="151"/>
      <c r="AC4" s="151"/>
      <c r="AD4" s="151"/>
      <c r="AE4" s="151"/>
      <c r="AF4" s="151"/>
      <c r="AG4" s="151"/>
      <c r="AH4" s="214"/>
      <c r="AI4" s="151"/>
      <c r="AJ4" s="151"/>
      <c r="AK4" s="151"/>
      <c r="AL4" s="151"/>
      <c r="AM4" s="151"/>
      <c r="AN4" s="151"/>
      <c r="AO4" s="151"/>
    </row>
    <row r="5" spans="1:41" s="138" customFormat="1" ht="63" x14ac:dyDescent="0.35">
      <c r="A5" s="152"/>
      <c r="B5" s="153" t="s">
        <v>207</v>
      </c>
      <c r="C5" s="154"/>
      <c r="D5" s="155">
        <f>SUM(D6:D11)</f>
        <v>210000000</v>
      </c>
      <c r="E5" s="155">
        <f>SUM(E6:E11)</f>
        <v>210000000</v>
      </c>
      <c r="F5" s="155">
        <f>SUM(F6:F11)</f>
        <v>0</v>
      </c>
      <c r="G5" s="155">
        <f>SUM(G6:G11)</f>
        <v>0</v>
      </c>
      <c r="H5" s="156"/>
      <c r="I5" s="215">
        <v>1</v>
      </c>
      <c r="J5" s="215"/>
      <c r="K5" s="215"/>
      <c r="L5" s="157"/>
      <c r="M5" s="157"/>
      <c r="N5" s="157"/>
      <c r="O5" s="157"/>
      <c r="P5" s="157"/>
      <c r="Q5" s="157"/>
      <c r="R5" s="157"/>
      <c r="S5" s="157"/>
      <c r="T5" s="157"/>
      <c r="U5" s="157"/>
      <c r="V5" s="157"/>
      <c r="W5" s="157"/>
      <c r="X5" s="157"/>
      <c r="Y5" s="157"/>
      <c r="Z5" s="157"/>
      <c r="AA5" s="157"/>
      <c r="AB5" s="157"/>
      <c r="AC5" s="157"/>
      <c r="AD5" s="157"/>
      <c r="AE5" s="157"/>
      <c r="AF5" s="157"/>
      <c r="AG5" s="157"/>
      <c r="AH5" s="186"/>
      <c r="AI5" s="157"/>
      <c r="AJ5" s="157"/>
      <c r="AK5" s="157"/>
      <c r="AL5" s="157"/>
      <c r="AM5" s="157"/>
      <c r="AN5" s="157"/>
      <c r="AO5" s="157"/>
    </row>
    <row r="6" spans="1:41" s="71" customFormat="1" ht="86.25" customHeight="1" x14ac:dyDescent="0.35">
      <c r="A6" s="158">
        <v>1</v>
      </c>
      <c r="B6" s="159"/>
      <c r="C6" s="202" t="s">
        <v>136</v>
      </c>
      <c r="D6" s="161">
        <v>50000000</v>
      </c>
      <c r="E6" s="162">
        <v>50000000</v>
      </c>
      <c r="F6" s="131"/>
      <c r="G6" s="163"/>
      <c r="H6" s="160" t="s">
        <v>218</v>
      </c>
      <c r="I6" s="216"/>
      <c r="J6" s="217" t="s">
        <v>36</v>
      </c>
      <c r="K6" s="160" t="s">
        <v>39</v>
      </c>
      <c r="L6" s="176" t="s">
        <v>103</v>
      </c>
      <c r="M6" s="165"/>
      <c r="N6" s="165"/>
      <c r="O6" s="165"/>
      <c r="P6" s="165"/>
      <c r="Q6" s="165"/>
      <c r="R6" s="165"/>
      <c r="S6" s="165"/>
      <c r="T6" s="165"/>
      <c r="U6" s="165"/>
      <c r="V6" s="165"/>
      <c r="W6" s="165"/>
      <c r="X6" s="165"/>
      <c r="Y6" s="165"/>
      <c r="Z6" s="165"/>
      <c r="AA6" s="165"/>
      <c r="AB6" s="165"/>
      <c r="AC6" s="165"/>
      <c r="AD6" s="165"/>
      <c r="AE6" s="165"/>
      <c r="AF6" s="165"/>
      <c r="AG6" s="165"/>
      <c r="AH6" s="218">
        <v>1</v>
      </c>
      <c r="AI6" s="165"/>
      <c r="AJ6" s="165"/>
      <c r="AK6" s="165"/>
      <c r="AL6" s="165"/>
      <c r="AM6" s="165"/>
      <c r="AN6" s="165"/>
      <c r="AO6" s="159" t="s">
        <v>36</v>
      </c>
    </row>
    <row r="7" spans="1:41" s="71" customFormat="1" ht="105" x14ac:dyDescent="0.35">
      <c r="A7" s="158">
        <v>2</v>
      </c>
      <c r="B7" s="159"/>
      <c r="C7" s="202" t="s">
        <v>137</v>
      </c>
      <c r="D7" s="161">
        <v>50000000</v>
      </c>
      <c r="E7" s="162">
        <v>50000000</v>
      </c>
      <c r="F7" s="131"/>
      <c r="G7" s="163"/>
      <c r="H7" s="160" t="s">
        <v>219</v>
      </c>
      <c r="I7" s="216"/>
      <c r="J7" s="217" t="s">
        <v>36</v>
      </c>
      <c r="K7" s="160" t="s">
        <v>40</v>
      </c>
      <c r="L7" s="176" t="s">
        <v>104</v>
      </c>
      <c r="M7" s="165"/>
      <c r="N7" s="165"/>
      <c r="O7" s="165"/>
      <c r="P7" s="165"/>
      <c r="Q7" s="165"/>
      <c r="R7" s="165"/>
      <c r="S7" s="165"/>
      <c r="T7" s="165"/>
      <c r="U7" s="165"/>
      <c r="V7" s="165"/>
      <c r="W7" s="165"/>
      <c r="X7" s="165"/>
      <c r="Y7" s="165"/>
      <c r="Z7" s="165"/>
      <c r="AA7" s="165"/>
      <c r="AB7" s="165"/>
      <c r="AC7" s="165"/>
      <c r="AD7" s="165"/>
      <c r="AE7" s="165"/>
      <c r="AF7" s="165"/>
      <c r="AG7" s="165"/>
      <c r="AH7" s="218">
        <v>1</v>
      </c>
      <c r="AI7" s="165"/>
      <c r="AJ7" s="165"/>
      <c r="AK7" s="165"/>
      <c r="AL7" s="165"/>
      <c r="AM7" s="165"/>
      <c r="AN7" s="165"/>
      <c r="AO7" s="159" t="s">
        <v>36</v>
      </c>
    </row>
    <row r="8" spans="1:41" s="71" customFormat="1" ht="105" x14ac:dyDescent="0.35">
      <c r="A8" s="158">
        <v>3</v>
      </c>
      <c r="B8" s="159"/>
      <c r="C8" s="203" t="s">
        <v>38</v>
      </c>
      <c r="D8" s="161">
        <v>36500000</v>
      </c>
      <c r="E8" s="164">
        <v>36500000</v>
      </c>
      <c r="F8" s="131"/>
      <c r="G8" s="131"/>
      <c r="H8" s="160" t="s">
        <v>220</v>
      </c>
      <c r="I8" s="216"/>
      <c r="J8" s="217" t="s">
        <v>42</v>
      </c>
      <c r="K8" s="219" t="s">
        <v>41</v>
      </c>
      <c r="L8" s="160" t="s">
        <v>203</v>
      </c>
      <c r="M8" s="176" t="s">
        <v>105</v>
      </c>
      <c r="N8" s="165"/>
      <c r="O8" s="165"/>
      <c r="P8" s="165"/>
      <c r="Q8" s="165"/>
      <c r="R8" s="165"/>
      <c r="S8" s="165"/>
      <c r="T8" s="165"/>
      <c r="U8" s="165"/>
      <c r="V8" s="165"/>
      <c r="W8" s="165"/>
      <c r="X8" s="165"/>
      <c r="Y8" s="165"/>
      <c r="Z8" s="165"/>
      <c r="AA8" s="165"/>
      <c r="AB8" s="165"/>
      <c r="AC8" s="165"/>
      <c r="AD8" s="165"/>
      <c r="AE8" s="165"/>
      <c r="AF8" s="165"/>
      <c r="AG8" s="165"/>
      <c r="AH8" s="218">
        <v>1</v>
      </c>
      <c r="AI8" s="165"/>
      <c r="AJ8" s="165"/>
      <c r="AK8" s="165"/>
      <c r="AL8" s="165"/>
      <c r="AM8" s="165"/>
      <c r="AN8" s="165"/>
      <c r="AO8" s="159" t="s">
        <v>42</v>
      </c>
    </row>
    <row r="9" spans="1:41" s="71" customFormat="1" ht="86.25" customHeight="1" x14ac:dyDescent="0.35">
      <c r="A9" s="158">
        <v>4</v>
      </c>
      <c r="B9" s="165"/>
      <c r="C9" s="159" t="s">
        <v>176</v>
      </c>
      <c r="D9" s="161">
        <v>13000000</v>
      </c>
      <c r="E9" s="131">
        <v>13000000</v>
      </c>
      <c r="F9" s="131"/>
      <c r="G9" s="166"/>
      <c r="H9" s="160" t="s">
        <v>221</v>
      </c>
      <c r="I9" s="216"/>
      <c r="J9" s="217" t="s">
        <v>42</v>
      </c>
      <c r="K9" s="160" t="s">
        <v>204</v>
      </c>
      <c r="L9" s="160" t="s">
        <v>203</v>
      </c>
      <c r="M9" s="176" t="s">
        <v>106</v>
      </c>
      <c r="N9" s="165"/>
      <c r="O9" s="165"/>
      <c r="P9" s="165"/>
      <c r="Q9" s="165"/>
      <c r="R9" s="165"/>
      <c r="S9" s="165"/>
      <c r="T9" s="165"/>
      <c r="U9" s="165"/>
      <c r="V9" s="165"/>
      <c r="W9" s="165"/>
      <c r="X9" s="165"/>
      <c r="Y9" s="165"/>
      <c r="Z9" s="165"/>
      <c r="AA9" s="165"/>
      <c r="AB9" s="165"/>
      <c r="AC9" s="165"/>
      <c r="AD9" s="165"/>
      <c r="AE9" s="165"/>
      <c r="AF9" s="165"/>
      <c r="AG9" s="165"/>
      <c r="AH9" s="218">
        <v>1</v>
      </c>
      <c r="AI9" s="165"/>
      <c r="AJ9" s="165"/>
      <c r="AK9" s="165"/>
      <c r="AL9" s="165"/>
      <c r="AM9" s="165"/>
      <c r="AN9" s="165"/>
      <c r="AO9" s="159" t="s">
        <v>42</v>
      </c>
    </row>
    <row r="10" spans="1:41" s="71" customFormat="1" ht="90" customHeight="1" x14ac:dyDescent="0.35">
      <c r="A10" s="167">
        <v>5</v>
      </c>
      <c r="B10" s="159"/>
      <c r="C10" s="202" t="s">
        <v>148</v>
      </c>
      <c r="D10" s="161">
        <v>45500000</v>
      </c>
      <c r="E10" s="162">
        <v>45500000</v>
      </c>
      <c r="F10" s="131"/>
      <c r="G10" s="163"/>
      <c r="H10" s="160" t="s">
        <v>222</v>
      </c>
      <c r="I10" s="220"/>
      <c r="J10" s="221" t="s">
        <v>42</v>
      </c>
      <c r="K10" s="183" t="s">
        <v>77</v>
      </c>
      <c r="L10" s="222" t="s">
        <v>122</v>
      </c>
      <c r="M10" s="223"/>
      <c r="N10" s="223"/>
      <c r="O10" s="223"/>
      <c r="P10" s="223"/>
      <c r="Q10" s="223"/>
      <c r="R10" s="223"/>
      <c r="S10" s="223"/>
      <c r="T10" s="223"/>
      <c r="U10" s="223"/>
      <c r="V10" s="223"/>
      <c r="W10" s="223"/>
      <c r="X10" s="223"/>
      <c r="Y10" s="223"/>
      <c r="Z10" s="223"/>
      <c r="AA10" s="223"/>
      <c r="AB10" s="223"/>
      <c r="AC10" s="223"/>
      <c r="AD10" s="115" t="s">
        <v>42</v>
      </c>
      <c r="AE10" s="165"/>
      <c r="AF10" s="165"/>
      <c r="AG10" s="165"/>
      <c r="AH10" s="218"/>
      <c r="AI10" s="165"/>
      <c r="AJ10" s="165"/>
      <c r="AK10" s="165"/>
      <c r="AL10" s="165"/>
      <c r="AM10" s="165"/>
      <c r="AN10" s="165"/>
      <c r="AO10" s="115" t="s">
        <v>42</v>
      </c>
    </row>
    <row r="11" spans="1:41" s="71" customFormat="1" ht="89.25" customHeight="1" x14ac:dyDescent="0.35">
      <c r="A11" s="167">
        <v>6</v>
      </c>
      <c r="B11" s="159"/>
      <c r="C11" s="202" t="s">
        <v>78</v>
      </c>
      <c r="D11" s="161">
        <v>15000000</v>
      </c>
      <c r="E11" s="164">
        <v>15000000</v>
      </c>
      <c r="F11" s="168"/>
      <c r="G11" s="169"/>
      <c r="H11" s="160" t="s">
        <v>223</v>
      </c>
      <c r="I11" s="220"/>
      <c r="J11" s="221" t="s">
        <v>42</v>
      </c>
      <c r="K11" s="183" t="s">
        <v>79</v>
      </c>
      <c r="L11" s="222" t="s">
        <v>122</v>
      </c>
      <c r="M11" s="223"/>
      <c r="N11" s="223"/>
      <c r="O11" s="223"/>
      <c r="P11" s="223"/>
      <c r="Q11" s="223"/>
      <c r="R11" s="223"/>
      <c r="S11" s="223"/>
      <c r="T11" s="223"/>
      <c r="U11" s="223"/>
      <c r="V11" s="223"/>
      <c r="W11" s="223"/>
      <c r="X11" s="223"/>
      <c r="Y11" s="223"/>
      <c r="Z11" s="223"/>
      <c r="AA11" s="223"/>
      <c r="AB11" s="223"/>
      <c r="AC11" s="223"/>
      <c r="AD11" s="115" t="s">
        <v>42</v>
      </c>
      <c r="AE11" s="165"/>
      <c r="AF11" s="165"/>
      <c r="AG11" s="165"/>
      <c r="AH11" s="218"/>
      <c r="AI11" s="165"/>
      <c r="AJ11" s="165"/>
      <c r="AK11" s="165"/>
      <c r="AL11" s="165"/>
      <c r="AM11" s="165"/>
      <c r="AN11" s="165"/>
      <c r="AO11" s="115" t="s">
        <v>42</v>
      </c>
    </row>
    <row r="12" spans="1:41" s="78" customFormat="1" ht="62.25" customHeight="1" x14ac:dyDescent="0.35">
      <c r="A12" s="152"/>
      <c r="B12" s="171" t="s">
        <v>208</v>
      </c>
      <c r="C12" s="171"/>
      <c r="D12" s="155">
        <f>SUM(D13:D16)</f>
        <v>200000000</v>
      </c>
      <c r="E12" s="155">
        <f t="shared" ref="E12:G12" si="1">SUM(E13:E16)</f>
        <v>100000000</v>
      </c>
      <c r="F12" s="155">
        <f t="shared" si="1"/>
        <v>0</v>
      </c>
      <c r="G12" s="155">
        <f t="shared" si="1"/>
        <v>100000000</v>
      </c>
      <c r="H12" s="172"/>
      <c r="I12" s="185">
        <v>1</v>
      </c>
      <c r="J12" s="185"/>
      <c r="K12" s="185"/>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86"/>
      <c r="AI12" s="154"/>
      <c r="AJ12" s="154"/>
      <c r="AK12" s="154"/>
      <c r="AL12" s="154"/>
      <c r="AM12" s="154"/>
      <c r="AN12" s="154"/>
      <c r="AO12" s="154"/>
    </row>
    <row r="13" spans="1:41" s="71" customFormat="1" ht="84" x14ac:dyDescent="0.35">
      <c r="A13" s="158">
        <v>7</v>
      </c>
      <c r="B13" s="165"/>
      <c r="C13" s="203" t="s">
        <v>138</v>
      </c>
      <c r="D13" s="173">
        <v>50000000</v>
      </c>
      <c r="E13" s="173">
        <v>50000000</v>
      </c>
      <c r="F13" s="131"/>
      <c r="G13" s="132"/>
      <c r="H13" s="160" t="s">
        <v>224</v>
      </c>
      <c r="I13" s="216"/>
      <c r="J13" s="217" t="s">
        <v>43</v>
      </c>
      <c r="K13" s="160" t="s">
        <v>44</v>
      </c>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218">
        <v>1</v>
      </c>
      <c r="AI13" s="165"/>
      <c r="AJ13" s="165"/>
      <c r="AK13" s="165"/>
      <c r="AL13" s="165"/>
      <c r="AM13" s="165"/>
      <c r="AN13" s="165"/>
      <c r="AO13" s="115" t="s">
        <v>43</v>
      </c>
    </row>
    <row r="14" spans="1:41" s="71" customFormat="1" ht="131.25" customHeight="1" x14ac:dyDescent="0.35">
      <c r="A14" s="167">
        <v>8</v>
      </c>
      <c r="B14" s="165"/>
      <c r="C14" s="203" t="s">
        <v>149</v>
      </c>
      <c r="D14" s="173">
        <v>50000000</v>
      </c>
      <c r="E14" s="131">
        <v>50000000</v>
      </c>
      <c r="F14" s="131"/>
      <c r="G14" s="174"/>
      <c r="H14" s="160" t="s">
        <v>225</v>
      </c>
      <c r="I14" s="220"/>
      <c r="J14" s="221" t="s">
        <v>36</v>
      </c>
      <c r="K14" s="183" t="s">
        <v>80</v>
      </c>
      <c r="L14" s="222" t="s">
        <v>122</v>
      </c>
      <c r="M14" s="223"/>
      <c r="N14" s="223"/>
      <c r="O14" s="223"/>
      <c r="P14" s="223"/>
      <c r="Q14" s="223"/>
      <c r="R14" s="223"/>
      <c r="S14" s="223"/>
      <c r="T14" s="223"/>
      <c r="U14" s="223"/>
      <c r="V14" s="223"/>
      <c r="W14" s="223"/>
      <c r="X14" s="223"/>
      <c r="Y14" s="223"/>
      <c r="Z14" s="223"/>
      <c r="AA14" s="223"/>
      <c r="AB14" s="223"/>
      <c r="AC14" s="223"/>
      <c r="AD14" s="115" t="s">
        <v>36</v>
      </c>
      <c r="AE14" s="165"/>
      <c r="AF14" s="165"/>
      <c r="AG14" s="165"/>
      <c r="AH14" s="218"/>
      <c r="AI14" s="165"/>
      <c r="AJ14" s="165"/>
      <c r="AK14" s="165"/>
      <c r="AL14" s="165"/>
      <c r="AM14" s="165"/>
      <c r="AN14" s="165"/>
      <c r="AO14" s="115" t="s">
        <v>36</v>
      </c>
    </row>
    <row r="15" spans="1:41" s="71" customFormat="1" ht="84" x14ac:dyDescent="0.35">
      <c r="A15" s="167">
        <v>9</v>
      </c>
      <c r="B15" s="165"/>
      <c r="C15" s="271" t="s">
        <v>226</v>
      </c>
      <c r="D15" s="272">
        <v>50000000</v>
      </c>
      <c r="E15" s="273"/>
      <c r="F15" s="273"/>
      <c r="G15" s="274">
        <v>50000000</v>
      </c>
      <c r="H15" s="271" t="s">
        <v>240</v>
      </c>
      <c r="I15" s="220"/>
      <c r="J15" s="221" t="s">
        <v>43</v>
      </c>
      <c r="K15" s="183" t="s">
        <v>81</v>
      </c>
      <c r="L15" s="222" t="s">
        <v>122</v>
      </c>
      <c r="M15" s="223"/>
      <c r="N15" s="223"/>
      <c r="O15" s="223"/>
      <c r="P15" s="223"/>
      <c r="Q15" s="223"/>
      <c r="R15" s="223"/>
      <c r="S15" s="223"/>
      <c r="T15" s="223"/>
      <c r="U15" s="223"/>
      <c r="V15" s="223"/>
      <c r="W15" s="223"/>
      <c r="X15" s="223"/>
      <c r="Y15" s="223"/>
      <c r="Z15" s="223"/>
      <c r="AA15" s="223"/>
      <c r="AB15" s="223"/>
      <c r="AC15" s="223"/>
      <c r="AD15" s="115" t="s">
        <v>43</v>
      </c>
      <c r="AE15" s="165"/>
      <c r="AF15" s="165"/>
      <c r="AG15" s="165"/>
      <c r="AH15" s="218"/>
      <c r="AI15" s="165"/>
      <c r="AJ15" s="165"/>
      <c r="AK15" s="165"/>
      <c r="AL15" s="165"/>
      <c r="AM15" s="165"/>
      <c r="AN15" s="165"/>
      <c r="AO15" s="115" t="s">
        <v>43</v>
      </c>
    </row>
    <row r="16" spans="1:41" s="71" customFormat="1" ht="105" x14ac:dyDescent="0.35">
      <c r="A16" s="167">
        <v>10</v>
      </c>
      <c r="B16" s="165"/>
      <c r="C16" s="271" t="s">
        <v>150</v>
      </c>
      <c r="D16" s="272">
        <v>50000000</v>
      </c>
      <c r="E16" s="273"/>
      <c r="F16" s="273"/>
      <c r="G16" s="272">
        <v>50000000</v>
      </c>
      <c r="H16" s="271" t="s">
        <v>240</v>
      </c>
      <c r="I16" s="220"/>
      <c r="J16" s="221" t="s">
        <v>43</v>
      </c>
      <c r="K16" s="183" t="s">
        <v>82</v>
      </c>
      <c r="L16" s="222" t="s">
        <v>122</v>
      </c>
      <c r="M16" s="223"/>
      <c r="N16" s="223"/>
      <c r="O16" s="223"/>
      <c r="P16" s="223"/>
      <c r="Q16" s="223"/>
      <c r="R16" s="223"/>
      <c r="S16" s="223"/>
      <c r="T16" s="223"/>
      <c r="U16" s="223"/>
      <c r="V16" s="223"/>
      <c r="W16" s="223"/>
      <c r="X16" s="223"/>
      <c r="Y16" s="223"/>
      <c r="Z16" s="223"/>
      <c r="AA16" s="223"/>
      <c r="AB16" s="223"/>
      <c r="AC16" s="223"/>
      <c r="AD16" s="115" t="s">
        <v>43</v>
      </c>
      <c r="AE16" s="165"/>
      <c r="AF16" s="165"/>
      <c r="AG16" s="165"/>
      <c r="AH16" s="218"/>
      <c r="AI16" s="165"/>
      <c r="AJ16" s="165"/>
      <c r="AK16" s="165"/>
      <c r="AL16" s="165"/>
      <c r="AM16" s="165"/>
      <c r="AN16" s="165"/>
      <c r="AO16" s="115" t="s">
        <v>43</v>
      </c>
    </row>
    <row r="17" spans="1:41" s="139" customFormat="1" ht="83.25" customHeight="1" x14ac:dyDescent="0.35">
      <c r="A17" s="152"/>
      <c r="B17" s="171" t="s">
        <v>209</v>
      </c>
      <c r="C17" s="170"/>
      <c r="D17" s="155">
        <f>SUM(D18:D19)</f>
        <v>10300000</v>
      </c>
      <c r="E17" s="155">
        <f t="shared" ref="E17:G17" si="2">SUM(E18:E19)</f>
        <v>0</v>
      </c>
      <c r="F17" s="155">
        <f t="shared" si="2"/>
        <v>0</v>
      </c>
      <c r="G17" s="155">
        <f t="shared" si="2"/>
        <v>10300000</v>
      </c>
      <c r="H17" s="156"/>
      <c r="I17" s="185">
        <v>1</v>
      </c>
      <c r="J17" s="185"/>
      <c r="K17" s="185"/>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86"/>
      <c r="AI17" s="154"/>
      <c r="AJ17" s="154"/>
      <c r="AK17" s="154"/>
      <c r="AL17" s="154"/>
      <c r="AM17" s="154"/>
      <c r="AN17" s="154"/>
      <c r="AO17" s="154"/>
    </row>
    <row r="18" spans="1:41" s="71" customFormat="1" ht="111" customHeight="1" x14ac:dyDescent="0.35">
      <c r="A18" s="158">
        <v>11</v>
      </c>
      <c r="B18" s="159"/>
      <c r="C18" s="271" t="s">
        <v>139</v>
      </c>
      <c r="D18" s="275">
        <v>5300000</v>
      </c>
      <c r="E18" s="273"/>
      <c r="F18" s="273"/>
      <c r="G18" s="275">
        <v>5300000</v>
      </c>
      <c r="H18" s="271" t="s">
        <v>241</v>
      </c>
      <c r="I18" s="276"/>
      <c r="J18" s="277" t="s">
        <v>107</v>
      </c>
      <c r="K18" s="271" t="s">
        <v>109</v>
      </c>
      <c r="L18" s="278" t="s">
        <v>108</v>
      </c>
      <c r="M18" s="279"/>
      <c r="N18" s="279"/>
      <c r="O18" s="279"/>
      <c r="P18" s="279"/>
      <c r="Q18" s="279"/>
      <c r="R18" s="279"/>
      <c r="S18" s="279"/>
      <c r="T18" s="279"/>
      <c r="U18" s="279"/>
      <c r="V18" s="279"/>
      <c r="W18" s="279"/>
      <c r="X18" s="279"/>
      <c r="Y18" s="279"/>
      <c r="Z18" s="279"/>
      <c r="AA18" s="279"/>
      <c r="AB18" s="279"/>
      <c r="AC18" s="279"/>
      <c r="AD18" s="279"/>
      <c r="AE18" s="279"/>
      <c r="AF18" s="279"/>
      <c r="AG18" s="279"/>
      <c r="AH18" s="280">
        <v>5</v>
      </c>
      <c r="AI18" s="279"/>
      <c r="AJ18" s="279"/>
      <c r="AK18" s="279"/>
      <c r="AL18" s="279"/>
      <c r="AM18" s="279"/>
      <c r="AN18" s="279"/>
      <c r="AO18" s="281" t="s">
        <v>186</v>
      </c>
    </row>
    <row r="19" spans="1:41" s="71" customFormat="1" ht="101.25" customHeight="1" x14ac:dyDescent="0.35">
      <c r="A19" s="158">
        <v>12</v>
      </c>
      <c r="B19" s="159"/>
      <c r="C19" s="271" t="s">
        <v>45</v>
      </c>
      <c r="D19" s="275">
        <v>5000000</v>
      </c>
      <c r="E19" s="273"/>
      <c r="F19" s="273"/>
      <c r="G19" s="273">
        <v>5000000</v>
      </c>
      <c r="H19" s="271" t="s">
        <v>242</v>
      </c>
      <c r="I19" s="276"/>
      <c r="J19" s="277" t="s">
        <v>46</v>
      </c>
      <c r="K19" s="271" t="s">
        <v>47</v>
      </c>
      <c r="L19" s="278" t="s">
        <v>110</v>
      </c>
      <c r="M19" s="279"/>
      <c r="N19" s="279"/>
      <c r="O19" s="279"/>
      <c r="P19" s="279"/>
      <c r="Q19" s="279"/>
      <c r="R19" s="279"/>
      <c r="S19" s="279"/>
      <c r="T19" s="279"/>
      <c r="U19" s="279"/>
      <c r="V19" s="279"/>
      <c r="W19" s="279"/>
      <c r="X19" s="279"/>
      <c r="Y19" s="279"/>
      <c r="Z19" s="279"/>
      <c r="AA19" s="279"/>
      <c r="AB19" s="279"/>
      <c r="AC19" s="279"/>
      <c r="AD19" s="279"/>
      <c r="AE19" s="279"/>
      <c r="AF19" s="279"/>
      <c r="AG19" s="279"/>
      <c r="AH19" s="280">
        <v>5</v>
      </c>
      <c r="AI19" s="279"/>
      <c r="AJ19" s="279"/>
      <c r="AK19" s="279"/>
      <c r="AL19" s="279"/>
      <c r="AM19" s="279"/>
      <c r="AN19" s="279"/>
      <c r="AO19" s="281" t="s">
        <v>187</v>
      </c>
    </row>
    <row r="20" spans="1:41" s="139" customFormat="1" ht="63" x14ac:dyDescent="0.35">
      <c r="A20" s="152"/>
      <c r="B20" s="170" t="s">
        <v>210</v>
      </c>
      <c r="C20" s="170"/>
      <c r="D20" s="155">
        <f>SUM(D21:D22)</f>
        <v>22000000</v>
      </c>
      <c r="E20" s="155">
        <f t="shared" ref="E20:G20" si="3">SUM(E21:E22)</f>
        <v>0</v>
      </c>
      <c r="F20" s="155">
        <f t="shared" si="3"/>
        <v>0</v>
      </c>
      <c r="G20" s="155">
        <f t="shared" si="3"/>
        <v>22000000</v>
      </c>
      <c r="H20" s="156"/>
      <c r="I20" s="185">
        <v>1</v>
      </c>
      <c r="J20" s="185"/>
      <c r="K20" s="185"/>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86"/>
      <c r="AI20" s="154"/>
      <c r="AJ20" s="154"/>
      <c r="AK20" s="154"/>
      <c r="AL20" s="154"/>
      <c r="AM20" s="154"/>
      <c r="AN20" s="154"/>
      <c r="AO20" s="154"/>
    </row>
    <row r="21" spans="1:41" s="71" customFormat="1" ht="64.5" customHeight="1" x14ac:dyDescent="0.35">
      <c r="A21" s="158">
        <v>13</v>
      </c>
      <c r="B21" s="159"/>
      <c r="C21" s="278" t="s">
        <v>140</v>
      </c>
      <c r="D21" s="272">
        <v>21000000</v>
      </c>
      <c r="E21" s="273"/>
      <c r="F21" s="273"/>
      <c r="G21" s="275">
        <v>21000000</v>
      </c>
      <c r="H21" s="271" t="s">
        <v>243</v>
      </c>
      <c r="I21" s="276"/>
      <c r="J21" s="277" t="s">
        <v>48</v>
      </c>
      <c r="K21" s="271" t="s">
        <v>83</v>
      </c>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80">
        <v>5</v>
      </c>
      <c r="AI21" s="279"/>
      <c r="AJ21" s="279"/>
      <c r="AK21" s="279"/>
      <c r="AL21" s="279"/>
      <c r="AM21" s="279"/>
      <c r="AN21" s="279"/>
      <c r="AO21" s="281" t="s">
        <v>188</v>
      </c>
    </row>
    <row r="22" spans="1:41" s="71" customFormat="1" ht="135.75" customHeight="1" x14ac:dyDescent="0.35">
      <c r="A22" s="167">
        <v>14</v>
      </c>
      <c r="B22" s="159"/>
      <c r="C22" s="278" t="s">
        <v>151</v>
      </c>
      <c r="D22" s="272">
        <v>1000000</v>
      </c>
      <c r="E22" s="273"/>
      <c r="F22" s="273"/>
      <c r="G22" s="274">
        <v>1000000</v>
      </c>
      <c r="H22" s="271" t="s">
        <v>244</v>
      </c>
      <c r="I22" s="282"/>
      <c r="J22" s="283" t="s">
        <v>48</v>
      </c>
      <c r="K22" s="284" t="s">
        <v>84</v>
      </c>
      <c r="L22" s="285"/>
      <c r="M22" s="285"/>
      <c r="N22" s="285"/>
      <c r="O22" s="285"/>
      <c r="P22" s="285"/>
      <c r="Q22" s="285"/>
      <c r="R22" s="285"/>
      <c r="S22" s="285"/>
      <c r="T22" s="285"/>
      <c r="U22" s="285"/>
      <c r="V22" s="285"/>
      <c r="W22" s="285"/>
      <c r="X22" s="285"/>
      <c r="Y22" s="285"/>
      <c r="Z22" s="285"/>
      <c r="AA22" s="285"/>
      <c r="AB22" s="285"/>
      <c r="AC22" s="285"/>
      <c r="AD22" s="281" t="s">
        <v>188</v>
      </c>
      <c r="AE22" s="279"/>
      <c r="AF22" s="279"/>
      <c r="AG22" s="279"/>
      <c r="AH22" s="280"/>
      <c r="AI22" s="279"/>
      <c r="AJ22" s="279"/>
      <c r="AK22" s="279"/>
      <c r="AL22" s="279"/>
      <c r="AM22" s="279"/>
      <c r="AN22" s="279"/>
      <c r="AO22" s="281" t="s">
        <v>188</v>
      </c>
    </row>
    <row r="23" spans="1:41" s="135" customFormat="1" ht="29.25" customHeight="1" x14ac:dyDescent="0.35">
      <c r="A23" s="268" t="s">
        <v>19</v>
      </c>
      <c r="B23" s="268"/>
      <c r="C23" s="268"/>
      <c r="D23" s="177">
        <f>D24+D27</f>
        <v>142582600</v>
      </c>
      <c r="E23" s="177">
        <f t="shared" ref="E23:G23" si="4">E24+E27</f>
        <v>61000000</v>
      </c>
      <c r="F23" s="177">
        <f t="shared" si="4"/>
        <v>0</v>
      </c>
      <c r="G23" s="177">
        <f t="shared" si="4"/>
        <v>81582600</v>
      </c>
      <c r="H23" s="178"/>
      <c r="I23" s="224"/>
      <c r="J23" s="212"/>
      <c r="K23" s="178"/>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214"/>
      <c r="AI23" s="151"/>
      <c r="AJ23" s="151"/>
      <c r="AK23" s="151"/>
      <c r="AL23" s="151"/>
      <c r="AM23" s="151"/>
      <c r="AN23" s="151"/>
      <c r="AO23" s="151"/>
    </row>
    <row r="24" spans="1:41" s="139" customFormat="1" ht="60.75" customHeight="1" x14ac:dyDescent="0.35">
      <c r="A24" s="179"/>
      <c r="B24" s="170" t="s">
        <v>177</v>
      </c>
      <c r="C24" s="171"/>
      <c r="D24" s="155">
        <f>SUM(D25:D26)</f>
        <v>61000000</v>
      </c>
      <c r="E24" s="155">
        <f t="shared" ref="E24:G24" si="5">SUM(E25:E26)</f>
        <v>61000000</v>
      </c>
      <c r="F24" s="155">
        <f t="shared" si="5"/>
        <v>0</v>
      </c>
      <c r="G24" s="155">
        <f t="shared" si="5"/>
        <v>0</v>
      </c>
      <c r="H24" s="153"/>
      <c r="I24" s="185">
        <v>2</v>
      </c>
      <c r="J24" s="185"/>
      <c r="K24" s="185"/>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86"/>
      <c r="AI24" s="154"/>
      <c r="AJ24" s="154"/>
      <c r="AK24" s="154"/>
      <c r="AL24" s="154"/>
      <c r="AM24" s="154"/>
      <c r="AN24" s="154"/>
      <c r="AO24" s="154"/>
    </row>
    <row r="25" spans="1:41" s="71" customFormat="1" ht="108" customHeight="1" x14ac:dyDescent="0.35">
      <c r="A25" s="158">
        <v>15</v>
      </c>
      <c r="B25" s="159"/>
      <c r="C25" s="204" t="s">
        <v>49</v>
      </c>
      <c r="D25" s="161">
        <v>21000000</v>
      </c>
      <c r="E25" s="162">
        <v>21000000</v>
      </c>
      <c r="F25" s="162"/>
      <c r="G25" s="161"/>
      <c r="H25" s="160" t="s">
        <v>227</v>
      </c>
      <c r="I25" s="216"/>
      <c r="J25" s="217" t="s">
        <v>51</v>
      </c>
      <c r="K25" s="160" t="s">
        <v>50</v>
      </c>
      <c r="L25" s="176" t="s">
        <v>111</v>
      </c>
      <c r="M25" s="165"/>
      <c r="N25" s="165"/>
      <c r="O25" s="165"/>
      <c r="P25" s="165"/>
      <c r="Q25" s="165"/>
      <c r="R25" s="165"/>
      <c r="S25" s="165"/>
      <c r="T25" s="165"/>
      <c r="U25" s="165"/>
      <c r="V25" s="165"/>
      <c r="W25" s="165"/>
      <c r="X25" s="165"/>
      <c r="Y25" s="165"/>
      <c r="Z25" s="165"/>
      <c r="AA25" s="165"/>
      <c r="AB25" s="165"/>
      <c r="AC25" s="165"/>
      <c r="AD25" s="165"/>
      <c r="AE25" s="165"/>
      <c r="AF25" s="165"/>
      <c r="AG25" s="165"/>
      <c r="AH25" s="218">
        <v>2</v>
      </c>
      <c r="AI25" s="165"/>
      <c r="AJ25" s="165"/>
      <c r="AK25" s="165"/>
      <c r="AL25" s="165"/>
      <c r="AM25" s="165"/>
      <c r="AN25" s="165"/>
      <c r="AO25" s="115" t="s">
        <v>51</v>
      </c>
    </row>
    <row r="26" spans="1:41" s="71" customFormat="1" ht="129" customHeight="1" x14ac:dyDescent="0.35">
      <c r="A26" s="167">
        <v>16</v>
      </c>
      <c r="B26" s="159"/>
      <c r="C26" s="176" t="s">
        <v>152</v>
      </c>
      <c r="D26" s="161">
        <v>40000000</v>
      </c>
      <c r="E26" s="174">
        <v>40000000</v>
      </c>
      <c r="F26" s="180"/>
      <c r="G26" s="174"/>
      <c r="H26" s="160" t="s">
        <v>205</v>
      </c>
      <c r="I26" s="216"/>
      <c r="J26" s="217" t="s">
        <v>51</v>
      </c>
      <c r="K26" s="160" t="s">
        <v>85</v>
      </c>
      <c r="L26" s="219" t="s">
        <v>122</v>
      </c>
      <c r="M26" s="165"/>
      <c r="N26" s="165"/>
      <c r="O26" s="165"/>
      <c r="P26" s="165"/>
      <c r="Q26" s="165"/>
      <c r="R26" s="165"/>
      <c r="S26" s="165"/>
      <c r="T26" s="165"/>
      <c r="U26" s="165"/>
      <c r="V26" s="165"/>
      <c r="W26" s="165"/>
      <c r="X26" s="165"/>
      <c r="Y26" s="165"/>
      <c r="Z26" s="165"/>
      <c r="AA26" s="165"/>
      <c r="AB26" s="165"/>
      <c r="AC26" s="165"/>
      <c r="AD26" s="115" t="s">
        <v>51</v>
      </c>
      <c r="AE26" s="165"/>
      <c r="AF26" s="165"/>
      <c r="AG26" s="165"/>
      <c r="AH26" s="218"/>
      <c r="AI26" s="165"/>
      <c r="AJ26" s="165"/>
      <c r="AK26" s="165"/>
      <c r="AL26" s="165"/>
      <c r="AM26" s="165"/>
      <c r="AN26" s="165"/>
      <c r="AO26" s="115" t="s">
        <v>51</v>
      </c>
    </row>
    <row r="27" spans="1:41" s="139" customFormat="1" ht="87" customHeight="1" x14ac:dyDescent="0.35">
      <c r="A27" s="152"/>
      <c r="B27" s="153" t="s">
        <v>178</v>
      </c>
      <c r="C27" s="153"/>
      <c r="D27" s="155">
        <f>SUM(D28:D31)</f>
        <v>81582600</v>
      </c>
      <c r="E27" s="155">
        <f t="shared" ref="E27:G27" si="6">SUM(E28:E31)</f>
        <v>0</v>
      </c>
      <c r="F27" s="155">
        <f t="shared" si="6"/>
        <v>0</v>
      </c>
      <c r="G27" s="155">
        <f t="shared" si="6"/>
        <v>81582600</v>
      </c>
      <c r="H27" s="181"/>
      <c r="I27" s="185">
        <v>2</v>
      </c>
      <c r="J27" s="185"/>
      <c r="K27" s="185"/>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86"/>
      <c r="AI27" s="154"/>
      <c r="AJ27" s="154"/>
      <c r="AK27" s="154"/>
      <c r="AL27" s="154"/>
      <c r="AM27" s="154"/>
      <c r="AN27" s="154"/>
      <c r="AO27" s="154"/>
    </row>
    <row r="28" spans="1:41" s="71" customFormat="1" ht="216" customHeight="1" x14ac:dyDescent="0.35">
      <c r="A28" s="158">
        <v>17</v>
      </c>
      <c r="B28" s="160"/>
      <c r="C28" s="271" t="s">
        <v>141</v>
      </c>
      <c r="D28" s="272">
        <v>6335900</v>
      </c>
      <c r="E28" s="273"/>
      <c r="F28" s="273"/>
      <c r="G28" s="275">
        <v>6335900</v>
      </c>
      <c r="H28" s="271" t="s">
        <v>245</v>
      </c>
      <c r="I28" s="276"/>
      <c r="J28" s="277" t="s">
        <v>53</v>
      </c>
      <c r="K28" s="271" t="s">
        <v>52</v>
      </c>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80">
        <v>3</v>
      </c>
      <c r="AI28" s="279"/>
      <c r="AJ28" s="279"/>
      <c r="AK28" s="279"/>
      <c r="AL28" s="279"/>
      <c r="AM28" s="279"/>
      <c r="AN28" s="279"/>
      <c r="AO28" s="281" t="s">
        <v>189</v>
      </c>
    </row>
    <row r="29" spans="1:41" s="15" customFormat="1" ht="111" customHeight="1" x14ac:dyDescent="0.35">
      <c r="A29" s="182">
        <v>18</v>
      </c>
      <c r="B29" s="183"/>
      <c r="C29" s="284" t="s">
        <v>142</v>
      </c>
      <c r="D29" s="286">
        <v>12693700</v>
      </c>
      <c r="E29" s="287"/>
      <c r="F29" s="287"/>
      <c r="G29" s="288">
        <v>12693700</v>
      </c>
      <c r="H29" s="271" t="s">
        <v>246</v>
      </c>
      <c r="I29" s="282"/>
      <c r="J29" s="283" t="s">
        <v>54</v>
      </c>
      <c r="K29" s="284" t="s">
        <v>55</v>
      </c>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9">
        <v>3</v>
      </c>
      <c r="AI29" s="285"/>
      <c r="AJ29" s="285"/>
      <c r="AK29" s="285"/>
      <c r="AL29" s="285"/>
      <c r="AM29" s="285"/>
      <c r="AN29" s="285"/>
      <c r="AO29" s="281" t="s">
        <v>190</v>
      </c>
    </row>
    <row r="30" spans="1:41" s="108" customFormat="1" ht="131.25" customHeight="1" x14ac:dyDescent="0.35">
      <c r="A30" s="167">
        <v>19</v>
      </c>
      <c r="B30" s="160"/>
      <c r="C30" s="271" t="s">
        <v>86</v>
      </c>
      <c r="D30" s="272">
        <v>10793000</v>
      </c>
      <c r="E30" s="273"/>
      <c r="F30" s="273"/>
      <c r="G30" s="274">
        <v>10793000</v>
      </c>
      <c r="H30" s="271" t="s">
        <v>247</v>
      </c>
      <c r="I30" s="276"/>
      <c r="J30" s="277" t="s">
        <v>87</v>
      </c>
      <c r="K30" s="271" t="s">
        <v>248</v>
      </c>
      <c r="L30" s="279"/>
      <c r="M30" s="279"/>
      <c r="N30" s="279"/>
      <c r="O30" s="279"/>
      <c r="P30" s="279"/>
      <c r="Q30" s="279"/>
      <c r="R30" s="279"/>
      <c r="S30" s="279"/>
      <c r="T30" s="279"/>
      <c r="U30" s="279"/>
      <c r="V30" s="279"/>
      <c r="W30" s="279"/>
      <c r="X30" s="279"/>
      <c r="Y30" s="279"/>
      <c r="Z30" s="279"/>
      <c r="AA30" s="279"/>
      <c r="AB30" s="279"/>
      <c r="AC30" s="279"/>
      <c r="AD30" s="281" t="s">
        <v>196</v>
      </c>
      <c r="AE30" s="285"/>
      <c r="AF30" s="285"/>
      <c r="AG30" s="285"/>
      <c r="AH30" s="289"/>
      <c r="AI30" s="285"/>
      <c r="AJ30" s="285"/>
      <c r="AK30" s="285"/>
      <c r="AL30" s="285"/>
      <c r="AM30" s="285"/>
      <c r="AN30" s="285"/>
      <c r="AO30" s="281" t="s">
        <v>196</v>
      </c>
    </row>
    <row r="31" spans="1:41" s="108" customFormat="1" ht="89.25" customHeight="1" x14ac:dyDescent="0.35">
      <c r="A31" s="167">
        <v>20</v>
      </c>
      <c r="B31" s="160"/>
      <c r="C31" s="271" t="s">
        <v>90</v>
      </c>
      <c r="D31" s="275">
        <v>51760000</v>
      </c>
      <c r="E31" s="273"/>
      <c r="F31" s="273"/>
      <c r="G31" s="274">
        <v>51760000</v>
      </c>
      <c r="H31" s="271" t="s">
        <v>249</v>
      </c>
      <c r="I31" s="276"/>
      <c r="J31" s="276" t="s">
        <v>88</v>
      </c>
      <c r="K31" s="290"/>
      <c r="L31" s="279"/>
      <c r="M31" s="279"/>
      <c r="N31" s="279"/>
      <c r="O31" s="279"/>
      <c r="P31" s="279"/>
      <c r="Q31" s="279"/>
      <c r="R31" s="279"/>
      <c r="S31" s="279"/>
      <c r="T31" s="279"/>
      <c r="U31" s="279"/>
      <c r="V31" s="279"/>
      <c r="W31" s="279"/>
      <c r="X31" s="279"/>
      <c r="Y31" s="279"/>
      <c r="Z31" s="279"/>
      <c r="AA31" s="279"/>
      <c r="AB31" s="279"/>
      <c r="AC31" s="279"/>
      <c r="AD31" s="281" t="s">
        <v>197</v>
      </c>
      <c r="AE31" s="285"/>
      <c r="AF31" s="285"/>
      <c r="AG31" s="285"/>
      <c r="AH31" s="289"/>
      <c r="AI31" s="285"/>
      <c r="AJ31" s="285"/>
      <c r="AK31" s="285"/>
      <c r="AL31" s="285"/>
      <c r="AM31" s="285"/>
      <c r="AN31" s="285"/>
      <c r="AO31" s="281" t="s">
        <v>197</v>
      </c>
    </row>
    <row r="32" spans="1:41" s="135" customFormat="1" ht="36" customHeight="1" x14ac:dyDescent="0.35">
      <c r="A32" s="269" t="s">
        <v>20</v>
      </c>
      <c r="B32" s="269"/>
      <c r="C32" s="269"/>
      <c r="D32" s="177">
        <f>D33+D36+D40+D43+D46</f>
        <v>240240000</v>
      </c>
      <c r="E32" s="177">
        <f t="shared" ref="E32:G32" si="7">E33+E36+E40+E43+E46</f>
        <v>125500000</v>
      </c>
      <c r="F32" s="177">
        <f t="shared" si="7"/>
        <v>67080000</v>
      </c>
      <c r="G32" s="177">
        <f t="shared" si="7"/>
        <v>47660000</v>
      </c>
      <c r="H32" s="184"/>
      <c r="I32" s="224"/>
      <c r="J32" s="212"/>
      <c r="K32" s="178"/>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214"/>
      <c r="AI32" s="151"/>
      <c r="AJ32" s="151"/>
      <c r="AK32" s="151"/>
      <c r="AL32" s="151"/>
      <c r="AM32" s="151"/>
      <c r="AN32" s="151"/>
      <c r="AO32" s="151"/>
    </row>
    <row r="33" spans="1:42" s="137" customFormat="1" ht="63.75" customHeight="1" x14ac:dyDescent="0.35">
      <c r="A33" s="152"/>
      <c r="B33" s="153" t="s">
        <v>179</v>
      </c>
      <c r="C33" s="153"/>
      <c r="D33" s="155">
        <f>SUM(D34:D35)</f>
        <v>104000000</v>
      </c>
      <c r="E33" s="155">
        <f t="shared" ref="E33:G33" si="8">SUM(E34:E35)</f>
        <v>55000000</v>
      </c>
      <c r="F33" s="155">
        <f t="shared" si="8"/>
        <v>49000000</v>
      </c>
      <c r="G33" s="155">
        <f t="shared" si="8"/>
        <v>0</v>
      </c>
      <c r="H33" s="156"/>
      <c r="I33" s="185">
        <v>3</v>
      </c>
      <c r="J33" s="185"/>
      <c r="K33" s="185"/>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86"/>
      <c r="AI33" s="154"/>
      <c r="AJ33" s="154"/>
      <c r="AK33" s="154"/>
      <c r="AL33" s="154"/>
      <c r="AM33" s="154"/>
      <c r="AN33" s="154"/>
      <c r="AO33" s="154"/>
      <c r="AP33" s="140"/>
    </row>
    <row r="34" spans="1:42" s="71" customFormat="1" ht="111.75" customHeight="1" x14ac:dyDescent="0.35">
      <c r="A34" s="158">
        <v>21</v>
      </c>
      <c r="B34" s="160"/>
      <c r="C34" s="160" t="s">
        <v>56</v>
      </c>
      <c r="D34" s="161">
        <v>49000000</v>
      </c>
      <c r="E34" s="131"/>
      <c r="F34" s="131">
        <v>49000000</v>
      </c>
      <c r="G34" s="131"/>
      <c r="H34" s="160" t="s">
        <v>228</v>
      </c>
      <c r="I34" s="216"/>
      <c r="J34" s="217" t="s">
        <v>57</v>
      </c>
      <c r="K34" s="160" t="s">
        <v>58</v>
      </c>
      <c r="L34" s="176" t="s">
        <v>112</v>
      </c>
      <c r="M34" s="165"/>
      <c r="N34" s="165"/>
      <c r="O34" s="165"/>
      <c r="P34" s="165"/>
      <c r="Q34" s="165"/>
      <c r="R34" s="165"/>
      <c r="S34" s="165"/>
      <c r="T34" s="165"/>
      <c r="U34" s="165"/>
      <c r="V34" s="165"/>
      <c r="W34" s="165"/>
      <c r="X34" s="165"/>
      <c r="Y34" s="165"/>
      <c r="Z34" s="165"/>
      <c r="AA34" s="165"/>
      <c r="AB34" s="165"/>
      <c r="AC34" s="165"/>
      <c r="AD34" s="165"/>
      <c r="AE34" s="165"/>
      <c r="AF34" s="165"/>
      <c r="AG34" s="165"/>
      <c r="AH34" s="218">
        <v>1</v>
      </c>
      <c r="AI34" s="165"/>
      <c r="AJ34" s="165"/>
      <c r="AK34" s="165"/>
      <c r="AL34" s="165"/>
      <c r="AM34" s="165"/>
      <c r="AN34" s="165"/>
      <c r="AO34" s="115" t="s">
        <v>42</v>
      </c>
    </row>
    <row r="35" spans="1:42" s="71" customFormat="1" ht="91.5" customHeight="1" x14ac:dyDescent="0.35">
      <c r="A35" s="167">
        <v>22</v>
      </c>
      <c r="B35" s="160"/>
      <c r="C35" s="202" t="s">
        <v>91</v>
      </c>
      <c r="D35" s="161">
        <v>55000000</v>
      </c>
      <c r="E35" s="131">
        <v>55000000</v>
      </c>
      <c r="F35" s="131"/>
      <c r="G35" s="131"/>
      <c r="H35" s="160" t="s">
        <v>229</v>
      </c>
      <c r="I35" s="216"/>
      <c r="J35" s="217" t="s">
        <v>42</v>
      </c>
      <c r="K35" s="160" t="s">
        <v>92</v>
      </c>
      <c r="L35" s="219" t="s">
        <v>122</v>
      </c>
      <c r="M35" s="165"/>
      <c r="N35" s="165"/>
      <c r="O35" s="165"/>
      <c r="P35" s="165"/>
      <c r="Q35" s="165"/>
      <c r="R35" s="165"/>
      <c r="S35" s="165"/>
      <c r="T35" s="165"/>
      <c r="U35" s="165"/>
      <c r="V35" s="165"/>
      <c r="W35" s="165"/>
      <c r="X35" s="165"/>
      <c r="Y35" s="165"/>
      <c r="Z35" s="165"/>
      <c r="AA35" s="165"/>
      <c r="AB35" s="165"/>
      <c r="AC35" s="165"/>
      <c r="AD35" s="115" t="s">
        <v>42</v>
      </c>
      <c r="AE35" s="165"/>
      <c r="AF35" s="165"/>
      <c r="AG35" s="165"/>
      <c r="AH35" s="218"/>
      <c r="AI35" s="165"/>
      <c r="AJ35" s="165"/>
      <c r="AK35" s="165"/>
      <c r="AL35" s="165"/>
      <c r="AM35" s="165"/>
      <c r="AN35" s="165"/>
      <c r="AO35" s="115" t="s">
        <v>42</v>
      </c>
    </row>
    <row r="36" spans="1:42" s="139" customFormat="1" ht="82.5" customHeight="1" x14ac:dyDescent="0.35">
      <c r="A36" s="152"/>
      <c r="B36" s="153" t="s">
        <v>180</v>
      </c>
      <c r="C36" s="153"/>
      <c r="D36" s="155">
        <f>SUM(D37:D39)</f>
        <v>86000000</v>
      </c>
      <c r="E36" s="155">
        <f t="shared" ref="E36:G36" si="9">SUM(E37:E39)</f>
        <v>52000000</v>
      </c>
      <c r="F36" s="155">
        <f t="shared" si="9"/>
        <v>0</v>
      </c>
      <c r="G36" s="155">
        <f t="shared" si="9"/>
        <v>34000000</v>
      </c>
      <c r="H36" s="156"/>
      <c r="I36" s="185">
        <v>3</v>
      </c>
      <c r="J36" s="185"/>
      <c r="K36" s="185"/>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86"/>
      <c r="AI36" s="154"/>
      <c r="AJ36" s="154"/>
      <c r="AK36" s="154"/>
      <c r="AL36" s="154"/>
      <c r="AM36" s="154"/>
      <c r="AN36" s="154"/>
      <c r="AO36" s="154"/>
    </row>
    <row r="37" spans="1:42" s="71" customFormat="1" ht="59.25" customHeight="1" x14ac:dyDescent="0.35">
      <c r="A37" s="158">
        <v>23</v>
      </c>
      <c r="B37" s="160"/>
      <c r="C37" s="202" t="s">
        <v>143</v>
      </c>
      <c r="D37" s="173">
        <v>22000000</v>
      </c>
      <c r="E37" s="131">
        <v>22000000</v>
      </c>
      <c r="F37" s="131"/>
      <c r="G37" s="131"/>
      <c r="H37" s="160" t="s">
        <v>230</v>
      </c>
      <c r="I37" s="216"/>
      <c r="J37" s="217" t="s">
        <v>59</v>
      </c>
      <c r="K37" s="160" t="s">
        <v>113</v>
      </c>
      <c r="L37" s="176" t="s">
        <v>114</v>
      </c>
      <c r="M37" s="160" t="s">
        <v>206</v>
      </c>
      <c r="N37" s="165"/>
      <c r="O37" s="165"/>
      <c r="P37" s="165"/>
      <c r="Q37" s="165"/>
      <c r="R37" s="165"/>
      <c r="S37" s="165"/>
      <c r="T37" s="165"/>
      <c r="U37" s="165"/>
      <c r="V37" s="165"/>
      <c r="W37" s="165"/>
      <c r="X37" s="165"/>
      <c r="Y37" s="165"/>
      <c r="Z37" s="165"/>
      <c r="AA37" s="165"/>
      <c r="AB37" s="165"/>
      <c r="AC37" s="165"/>
      <c r="AD37" s="165"/>
      <c r="AE37" s="165"/>
      <c r="AF37" s="165"/>
      <c r="AG37" s="165"/>
      <c r="AH37" s="218">
        <v>2</v>
      </c>
      <c r="AI37" s="165"/>
      <c r="AJ37" s="165"/>
      <c r="AK37" s="165"/>
      <c r="AL37" s="165"/>
      <c r="AM37" s="165"/>
      <c r="AN37" s="165"/>
      <c r="AO37" s="115" t="s">
        <v>191</v>
      </c>
    </row>
    <row r="38" spans="1:42" s="71" customFormat="1" ht="73.5" customHeight="1" x14ac:dyDescent="0.35">
      <c r="A38" s="158">
        <v>24</v>
      </c>
      <c r="B38" s="160"/>
      <c r="C38" s="160" t="s">
        <v>144</v>
      </c>
      <c r="D38" s="173">
        <v>34000000</v>
      </c>
      <c r="E38" s="131"/>
      <c r="F38" s="131"/>
      <c r="G38" s="131">
        <v>34000000</v>
      </c>
      <c r="H38" s="160" t="s">
        <v>231</v>
      </c>
      <c r="I38" s="216"/>
      <c r="J38" s="217" t="s">
        <v>59</v>
      </c>
      <c r="K38" s="160" t="s">
        <v>60</v>
      </c>
      <c r="L38" s="160" t="s">
        <v>115</v>
      </c>
      <c r="M38" s="165"/>
      <c r="N38" s="165"/>
      <c r="O38" s="165"/>
      <c r="P38" s="165"/>
      <c r="Q38" s="165"/>
      <c r="R38" s="165"/>
      <c r="S38" s="165"/>
      <c r="T38" s="165"/>
      <c r="U38" s="165"/>
      <c r="V38" s="165"/>
      <c r="W38" s="165"/>
      <c r="X38" s="165"/>
      <c r="Y38" s="165"/>
      <c r="Z38" s="165"/>
      <c r="AA38" s="165"/>
      <c r="AB38" s="165"/>
      <c r="AC38" s="165"/>
      <c r="AD38" s="165"/>
      <c r="AE38" s="165"/>
      <c r="AF38" s="165"/>
      <c r="AG38" s="165"/>
      <c r="AH38" s="218">
        <v>2</v>
      </c>
      <c r="AI38" s="165"/>
      <c r="AJ38" s="165"/>
      <c r="AK38" s="165"/>
      <c r="AL38" s="165"/>
      <c r="AM38" s="165"/>
      <c r="AN38" s="165"/>
      <c r="AO38" s="115" t="s">
        <v>191</v>
      </c>
    </row>
    <row r="39" spans="1:42" s="71" customFormat="1" ht="123" customHeight="1" x14ac:dyDescent="0.35">
      <c r="A39" s="167">
        <v>25</v>
      </c>
      <c r="B39" s="160"/>
      <c r="C39" s="202" t="s">
        <v>212</v>
      </c>
      <c r="D39" s="173">
        <v>30000000</v>
      </c>
      <c r="E39" s="131">
        <v>30000000</v>
      </c>
      <c r="F39" s="131"/>
      <c r="G39" s="131"/>
      <c r="H39" s="160" t="s">
        <v>232</v>
      </c>
      <c r="I39" s="216"/>
      <c r="J39" s="217" t="s">
        <v>93</v>
      </c>
      <c r="K39" s="160" t="s">
        <v>94</v>
      </c>
      <c r="L39" s="160" t="s">
        <v>123</v>
      </c>
      <c r="M39" s="165"/>
      <c r="N39" s="165"/>
      <c r="O39" s="165"/>
      <c r="P39" s="165"/>
      <c r="Q39" s="165"/>
      <c r="R39" s="165"/>
      <c r="S39" s="165"/>
      <c r="T39" s="165"/>
      <c r="U39" s="165"/>
      <c r="V39" s="165"/>
      <c r="W39" s="165"/>
      <c r="X39" s="165"/>
      <c r="Y39" s="165"/>
      <c r="Z39" s="165"/>
      <c r="AA39" s="165"/>
      <c r="AB39" s="165"/>
      <c r="AC39" s="165"/>
      <c r="AD39" s="115" t="s">
        <v>191</v>
      </c>
      <c r="AE39" s="165"/>
      <c r="AF39" s="165"/>
      <c r="AG39" s="165"/>
      <c r="AH39" s="218"/>
      <c r="AI39" s="165"/>
      <c r="AJ39" s="165"/>
      <c r="AK39" s="165"/>
      <c r="AL39" s="165"/>
      <c r="AM39" s="165"/>
      <c r="AN39" s="165"/>
      <c r="AO39" s="115" t="s">
        <v>191</v>
      </c>
    </row>
    <row r="40" spans="1:42" s="139" customFormat="1" ht="60.75" customHeight="1" x14ac:dyDescent="0.35">
      <c r="A40" s="152"/>
      <c r="B40" s="153" t="s">
        <v>181</v>
      </c>
      <c r="C40" s="153"/>
      <c r="D40" s="155">
        <f>SUM(D41:D42)</f>
        <v>18080000</v>
      </c>
      <c r="E40" s="155">
        <f t="shared" ref="E40:G40" si="10">SUM(E41:E42)</f>
        <v>0</v>
      </c>
      <c r="F40" s="155">
        <f t="shared" si="10"/>
        <v>18080000</v>
      </c>
      <c r="G40" s="155">
        <f t="shared" si="10"/>
        <v>0</v>
      </c>
      <c r="H40" s="156"/>
      <c r="I40" s="185">
        <v>3</v>
      </c>
      <c r="J40" s="185"/>
      <c r="K40" s="185"/>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86"/>
      <c r="AI40" s="154"/>
      <c r="AJ40" s="154"/>
      <c r="AK40" s="154"/>
      <c r="AL40" s="154"/>
      <c r="AM40" s="154"/>
      <c r="AN40" s="154"/>
      <c r="AO40" s="154"/>
    </row>
    <row r="41" spans="1:42" s="71" customFormat="1" ht="129.75" customHeight="1" x14ac:dyDescent="0.35">
      <c r="A41" s="158">
        <v>26</v>
      </c>
      <c r="B41" s="160"/>
      <c r="C41" s="160" t="s">
        <v>128</v>
      </c>
      <c r="D41" s="161">
        <v>10000000</v>
      </c>
      <c r="E41" s="131"/>
      <c r="F41" s="131">
        <v>10000000</v>
      </c>
      <c r="G41" s="131"/>
      <c r="H41" s="160" t="s">
        <v>233</v>
      </c>
      <c r="I41" s="216"/>
      <c r="J41" s="217" t="s">
        <v>61</v>
      </c>
      <c r="K41" s="160" t="s">
        <v>116</v>
      </c>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218">
        <v>8</v>
      </c>
      <c r="AI41" s="165"/>
      <c r="AJ41" s="165"/>
      <c r="AK41" s="165"/>
      <c r="AL41" s="165"/>
      <c r="AM41" s="165"/>
      <c r="AN41" s="165"/>
      <c r="AO41" s="115" t="s">
        <v>61</v>
      </c>
    </row>
    <row r="42" spans="1:42" s="71" customFormat="1" ht="134.25" customHeight="1" x14ac:dyDescent="0.35">
      <c r="A42" s="158">
        <v>27</v>
      </c>
      <c r="B42" s="160"/>
      <c r="C42" s="160" t="s">
        <v>129</v>
      </c>
      <c r="D42" s="161">
        <v>8080000</v>
      </c>
      <c r="E42" s="131"/>
      <c r="F42" s="161">
        <v>8080000</v>
      </c>
      <c r="G42" s="161"/>
      <c r="H42" s="160" t="s">
        <v>234</v>
      </c>
      <c r="I42" s="216"/>
      <c r="J42" s="217" t="s">
        <v>61</v>
      </c>
      <c r="K42" s="219" t="s">
        <v>62</v>
      </c>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218">
        <v>8</v>
      </c>
      <c r="AI42" s="165"/>
      <c r="AJ42" s="165"/>
      <c r="AK42" s="165"/>
      <c r="AL42" s="165"/>
      <c r="AM42" s="165"/>
      <c r="AN42" s="165"/>
      <c r="AO42" s="115" t="s">
        <v>61</v>
      </c>
    </row>
    <row r="43" spans="1:42" s="139" customFormat="1" ht="43.5" customHeight="1" x14ac:dyDescent="0.35">
      <c r="A43" s="152"/>
      <c r="B43" s="153" t="s">
        <v>182</v>
      </c>
      <c r="C43" s="153"/>
      <c r="D43" s="155">
        <f>SUM(D44:D45)</f>
        <v>28500000</v>
      </c>
      <c r="E43" s="155">
        <f t="shared" ref="E43:G43" si="11">SUM(E44:E45)</f>
        <v>18500000</v>
      </c>
      <c r="F43" s="155">
        <f t="shared" si="11"/>
        <v>0</v>
      </c>
      <c r="G43" s="155">
        <f t="shared" si="11"/>
        <v>10000000</v>
      </c>
      <c r="H43" s="156"/>
      <c r="I43" s="185">
        <v>3</v>
      </c>
      <c r="J43" s="225"/>
      <c r="K43" s="185"/>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86"/>
      <c r="AI43" s="154"/>
      <c r="AJ43" s="154"/>
      <c r="AK43" s="154"/>
      <c r="AL43" s="154"/>
      <c r="AM43" s="154"/>
      <c r="AN43" s="154"/>
      <c r="AO43" s="154"/>
    </row>
    <row r="44" spans="1:42" s="71" customFormat="1" ht="149.25" customHeight="1" x14ac:dyDescent="0.35">
      <c r="A44" s="158">
        <v>28</v>
      </c>
      <c r="B44" s="160"/>
      <c r="C44" s="202" t="s">
        <v>63</v>
      </c>
      <c r="D44" s="131">
        <v>25000000</v>
      </c>
      <c r="E44" s="131">
        <v>15000000</v>
      </c>
      <c r="F44" s="131"/>
      <c r="G44" s="131">
        <v>10000000</v>
      </c>
      <c r="H44" s="160" t="s">
        <v>235</v>
      </c>
      <c r="I44" s="216"/>
      <c r="J44" s="217" t="s">
        <v>64</v>
      </c>
      <c r="K44" s="160" t="s">
        <v>65</v>
      </c>
      <c r="L44" s="176" t="s">
        <v>117</v>
      </c>
      <c r="M44" s="165"/>
      <c r="N44" s="165"/>
      <c r="O44" s="165"/>
      <c r="P44" s="165"/>
      <c r="Q44" s="165"/>
      <c r="R44" s="165"/>
      <c r="S44" s="165"/>
      <c r="T44" s="165"/>
      <c r="U44" s="165"/>
      <c r="V44" s="165"/>
      <c r="W44" s="165"/>
      <c r="X44" s="165"/>
      <c r="Y44" s="165"/>
      <c r="Z44" s="165"/>
      <c r="AA44" s="165"/>
      <c r="AB44" s="165"/>
      <c r="AC44" s="165"/>
      <c r="AD44" s="165"/>
      <c r="AE44" s="165"/>
      <c r="AF44" s="165"/>
      <c r="AG44" s="165"/>
      <c r="AH44" s="218">
        <v>2</v>
      </c>
      <c r="AI44" s="165"/>
      <c r="AJ44" s="165"/>
      <c r="AK44" s="165"/>
      <c r="AL44" s="165"/>
      <c r="AM44" s="165"/>
      <c r="AN44" s="165"/>
      <c r="AO44" s="187" t="s">
        <v>192</v>
      </c>
    </row>
    <row r="45" spans="1:42" s="71" customFormat="1" ht="114" customHeight="1" x14ac:dyDescent="0.35">
      <c r="A45" s="167">
        <v>29</v>
      </c>
      <c r="B45" s="160"/>
      <c r="C45" s="160" t="s">
        <v>153</v>
      </c>
      <c r="D45" s="131">
        <v>3500000</v>
      </c>
      <c r="E45" s="131">
        <v>3500000</v>
      </c>
      <c r="F45" s="131"/>
      <c r="G45" s="131"/>
      <c r="H45" s="160" t="s">
        <v>236</v>
      </c>
      <c r="I45" s="216"/>
      <c r="J45" s="217" t="s">
        <v>95</v>
      </c>
      <c r="K45" s="160" t="s">
        <v>96</v>
      </c>
      <c r="L45" s="160" t="s">
        <v>124</v>
      </c>
      <c r="M45" s="165"/>
      <c r="N45" s="165"/>
      <c r="O45" s="165"/>
      <c r="P45" s="165"/>
      <c r="Q45" s="165"/>
      <c r="R45" s="165"/>
      <c r="S45" s="165"/>
      <c r="T45" s="165"/>
      <c r="U45" s="165"/>
      <c r="V45" s="165"/>
      <c r="W45" s="165"/>
      <c r="X45" s="165"/>
      <c r="Y45" s="165"/>
      <c r="Z45" s="165"/>
      <c r="AA45" s="165"/>
      <c r="AB45" s="165"/>
      <c r="AC45" s="165"/>
      <c r="AD45" s="115" t="s">
        <v>198</v>
      </c>
      <c r="AE45" s="165"/>
      <c r="AF45" s="165"/>
      <c r="AG45" s="165"/>
      <c r="AH45" s="218"/>
      <c r="AI45" s="165"/>
      <c r="AJ45" s="165"/>
      <c r="AK45" s="165"/>
      <c r="AL45" s="165"/>
      <c r="AM45" s="165"/>
      <c r="AN45" s="165"/>
      <c r="AO45" s="115" t="s">
        <v>198</v>
      </c>
    </row>
    <row r="46" spans="1:42" s="139" customFormat="1" ht="41.25" customHeight="1" x14ac:dyDescent="0.35">
      <c r="A46" s="152"/>
      <c r="B46" s="153" t="s">
        <v>183</v>
      </c>
      <c r="C46" s="153"/>
      <c r="D46" s="155">
        <f>SUM(D47:D48)</f>
        <v>3660000</v>
      </c>
      <c r="E46" s="155">
        <f t="shared" ref="E46:G46" si="12">SUM(E47:E48)</f>
        <v>0</v>
      </c>
      <c r="F46" s="155">
        <f t="shared" si="12"/>
        <v>0</v>
      </c>
      <c r="G46" s="155">
        <f t="shared" si="12"/>
        <v>3660000</v>
      </c>
      <c r="H46" s="156"/>
      <c r="I46" s="185">
        <v>3</v>
      </c>
      <c r="J46" s="185"/>
      <c r="K46" s="185"/>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86"/>
      <c r="AI46" s="154"/>
      <c r="AJ46" s="154"/>
      <c r="AK46" s="154"/>
      <c r="AL46" s="154"/>
      <c r="AM46" s="154"/>
      <c r="AN46" s="154"/>
      <c r="AO46" s="154"/>
    </row>
    <row r="47" spans="1:42" s="71" customFormat="1" ht="87.75" customHeight="1" x14ac:dyDescent="0.35">
      <c r="A47" s="158">
        <v>30</v>
      </c>
      <c r="B47" s="160"/>
      <c r="C47" s="271" t="s">
        <v>145</v>
      </c>
      <c r="D47" s="273">
        <v>2000000</v>
      </c>
      <c r="E47" s="273"/>
      <c r="F47" s="273"/>
      <c r="G47" s="273">
        <v>2000000</v>
      </c>
      <c r="H47" s="271" t="s">
        <v>250</v>
      </c>
      <c r="I47" s="276"/>
      <c r="J47" s="277" t="s">
        <v>48</v>
      </c>
      <c r="K47" s="271" t="s">
        <v>251</v>
      </c>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80">
        <v>5</v>
      </c>
      <c r="AI47" s="279"/>
      <c r="AJ47" s="279"/>
      <c r="AK47" s="279"/>
      <c r="AL47" s="279"/>
      <c r="AM47" s="279"/>
      <c r="AN47" s="279"/>
      <c r="AO47" s="281" t="s">
        <v>188</v>
      </c>
    </row>
    <row r="48" spans="1:42" s="71" customFormat="1" ht="69.75" customHeight="1" x14ac:dyDescent="0.35">
      <c r="A48" s="167">
        <v>31</v>
      </c>
      <c r="B48" s="160"/>
      <c r="C48" s="271" t="s">
        <v>155</v>
      </c>
      <c r="D48" s="273">
        <v>1660000</v>
      </c>
      <c r="E48" s="273"/>
      <c r="F48" s="273"/>
      <c r="G48" s="273">
        <v>1660000</v>
      </c>
      <c r="H48" s="271" t="s">
        <v>246</v>
      </c>
      <c r="I48" s="276"/>
      <c r="J48" s="276" t="s">
        <v>88</v>
      </c>
      <c r="K48" s="271" t="s">
        <v>97</v>
      </c>
      <c r="L48" s="279"/>
      <c r="M48" s="279"/>
      <c r="N48" s="279"/>
      <c r="O48" s="279"/>
      <c r="P48" s="279"/>
      <c r="Q48" s="279"/>
      <c r="R48" s="279"/>
      <c r="S48" s="279"/>
      <c r="T48" s="279"/>
      <c r="U48" s="279"/>
      <c r="V48" s="279"/>
      <c r="W48" s="279"/>
      <c r="X48" s="279"/>
      <c r="Y48" s="279"/>
      <c r="Z48" s="279"/>
      <c r="AA48" s="279"/>
      <c r="AB48" s="279"/>
      <c r="AC48" s="279"/>
      <c r="AD48" s="281" t="s">
        <v>197</v>
      </c>
      <c r="AE48" s="279"/>
      <c r="AF48" s="279"/>
      <c r="AG48" s="279"/>
      <c r="AH48" s="280"/>
      <c r="AI48" s="279"/>
      <c r="AJ48" s="279"/>
      <c r="AK48" s="279"/>
      <c r="AL48" s="279"/>
      <c r="AM48" s="279"/>
      <c r="AN48" s="279"/>
      <c r="AO48" s="281" t="s">
        <v>197</v>
      </c>
    </row>
    <row r="49" spans="1:42" s="135" customFormat="1" ht="30.75" customHeight="1" x14ac:dyDescent="0.35">
      <c r="A49" s="268" t="s">
        <v>21</v>
      </c>
      <c r="B49" s="268"/>
      <c r="C49" s="268"/>
      <c r="D49" s="150">
        <f>D50+D53+D55</f>
        <v>122718500</v>
      </c>
      <c r="E49" s="150">
        <f t="shared" ref="E49:G49" si="13">E50+E53+E55</f>
        <v>73410500</v>
      </c>
      <c r="F49" s="150">
        <f t="shared" si="13"/>
        <v>0</v>
      </c>
      <c r="G49" s="150">
        <f t="shared" si="13"/>
        <v>49308000</v>
      </c>
      <c r="H49" s="184"/>
      <c r="I49" s="224"/>
      <c r="J49" s="212"/>
      <c r="K49" s="178"/>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214"/>
      <c r="AI49" s="151"/>
      <c r="AJ49" s="151"/>
      <c r="AK49" s="151"/>
      <c r="AL49" s="151"/>
      <c r="AM49" s="151"/>
      <c r="AN49" s="151"/>
      <c r="AO49" s="151"/>
    </row>
    <row r="50" spans="1:42" s="139" customFormat="1" ht="66" customHeight="1" x14ac:dyDescent="0.35">
      <c r="A50" s="152"/>
      <c r="B50" s="153" t="s">
        <v>25</v>
      </c>
      <c r="C50" s="153"/>
      <c r="D50" s="155">
        <f>SUM(D51:D52)</f>
        <v>97588000</v>
      </c>
      <c r="E50" s="155">
        <f t="shared" ref="E50:G50" si="14">SUM(E51:E52)</f>
        <v>50000000</v>
      </c>
      <c r="F50" s="155">
        <f t="shared" si="14"/>
        <v>0</v>
      </c>
      <c r="G50" s="155">
        <f t="shared" si="14"/>
        <v>47588000</v>
      </c>
      <c r="H50" s="156"/>
      <c r="I50" s="185">
        <v>4</v>
      </c>
      <c r="J50" s="185"/>
      <c r="K50" s="185"/>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86"/>
      <c r="AI50" s="154"/>
      <c r="AJ50" s="154"/>
      <c r="AK50" s="154"/>
      <c r="AL50" s="154"/>
      <c r="AM50" s="154"/>
      <c r="AN50" s="154"/>
      <c r="AO50" s="154"/>
    </row>
    <row r="51" spans="1:42" s="71" customFormat="1" ht="87.75" customHeight="1" x14ac:dyDescent="0.35">
      <c r="A51" s="158">
        <v>32</v>
      </c>
      <c r="B51" s="160"/>
      <c r="C51" s="160" t="s">
        <v>214</v>
      </c>
      <c r="D51" s="131">
        <v>50000000</v>
      </c>
      <c r="E51" s="131">
        <v>50000000</v>
      </c>
      <c r="F51" s="131"/>
      <c r="G51" s="131"/>
      <c r="H51" s="160" t="s">
        <v>237</v>
      </c>
      <c r="I51" s="216"/>
      <c r="J51" s="217" t="s">
        <v>66</v>
      </c>
      <c r="K51" s="160" t="s">
        <v>67</v>
      </c>
      <c r="L51" s="160" t="s">
        <v>118</v>
      </c>
      <c r="M51" s="165"/>
      <c r="N51" s="165"/>
      <c r="O51" s="165"/>
      <c r="P51" s="165"/>
      <c r="Q51" s="165"/>
      <c r="R51" s="165"/>
      <c r="S51" s="165"/>
      <c r="T51" s="165"/>
      <c r="U51" s="165"/>
      <c r="V51" s="165"/>
      <c r="W51" s="165"/>
      <c r="X51" s="165"/>
      <c r="Y51" s="165"/>
      <c r="Z51" s="165"/>
      <c r="AA51" s="165"/>
      <c r="AB51" s="165"/>
      <c r="AC51" s="165"/>
      <c r="AD51" s="165"/>
      <c r="AE51" s="165"/>
      <c r="AF51" s="165"/>
      <c r="AG51" s="165"/>
      <c r="AH51" s="218">
        <v>7</v>
      </c>
      <c r="AI51" s="165"/>
      <c r="AJ51" s="165"/>
      <c r="AK51" s="165"/>
      <c r="AL51" s="165"/>
      <c r="AM51" s="165"/>
      <c r="AN51" s="165"/>
      <c r="AO51" s="115" t="s">
        <v>66</v>
      </c>
    </row>
    <row r="52" spans="1:42" s="71" customFormat="1" ht="70.5" customHeight="1" x14ac:dyDescent="0.35">
      <c r="A52" s="167">
        <v>33</v>
      </c>
      <c r="B52" s="160"/>
      <c r="C52" s="271" t="s">
        <v>213</v>
      </c>
      <c r="D52" s="273">
        <v>47588000</v>
      </c>
      <c r="E52" s="273"/>
      <c r="F52" s="273"/>
      <c r="G52" s="273">
        <v>47588000</v>
      </c>
      <c r="H52" s="271" t="s">
        <v>252</v>
      </c>
      <c r="I52" s="276"/>
      <c r="J52" s="277" t="s">
        <v>98</v>
      </c>
      <c r="K52" s="271" t="s">
        <v>99</v>
      </c>
      <c r="L52" s="278" t="s">
        <v>125</v>
      </c>
      <c r="M52" s="271" t="s">
        <v>253</v>
      </c>
      <c r="N52" s="279"/>
      <c r="O52" s="279"/>
      <c r="P52" s="279"/>
      <c r="Q52" s="279"/>
      <c r="R52" s="279"/>
      <c r="S52" s="279"/>
      <c r="T52" s="279"/>
      <c r="U52" s="279"/>
      <c r="V52" s="279"/>
      <c r="W52" s="279"/>
      <c r="X52" s="279"/>
      <c r="Y52" s="279"/>
      <c r="Z52" s="279"/>
      <c r="AA52" s="279"/>
      <c r="AB52" s="279"/>
      <c r="AC52" s="279"/>
      <c r="AD52" s="281" t="s">
        <v>199</v>
      </c>
      <c r="AE52" s="279"/>
      <c r="AF52" s="279"/>
      <c r="AG52" s="279"/>
      <c r="AH52" s="280"/>
      <c r="AI52" s="279"/>
      <c r="AJ52" s="279"/>
      <c r="AK52" s="279"/>
      <c r="AL52" s="279"/>
      <c r="AM52" s="279"/>
      <c r="AN52" s="279"/>
      <c r="AO52" s="281" t="s">
        <v>199</v>
      </c>
    </row>
    <row r="53" spans="1:42" s="139" customFormat="1" ht="75" customHeight="1" x14ac:dyDescent="0.35">
      <c r="A53" s="152"/>
      <c r="B53" s="153" t="s">
        <v>146</v>
      </c>
      <c r="C53" s="153"/>
      <c r="D53" s="175">
        <f>D54</f>
        <v>23410500</v>
      </c>
      <c r="E53" s="175">
        <f t="shared" ref="E53:G53" si="15">E54</f>
        <v>23410500</v>
      </c>
      <c r="F53" s="175">
        <f t="shared" si="15"/>
        <v>0</v>
      </c>
      <c r="G53" s="175">
        <f t="shared" si="15"/>
        <v>0</v>
      </c>
      <c r="H53" s="156"/>
      <c r="I53" s="185">
        <v>4</v>
      </c>
      <c r="J53" s="185"/>
      <c r="K53" s="185"/>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86"/>
      <c r="AI53" s="154"/>
      <c r="AJ53" s="154"/>
      <c r="AK53" s="154"/>
      <c r="AL53" s="154"/>
      <c r="AM53" s="154"/>
      <c r="AN53" s="154"/>
      <c r="AO53" s="154"/>
    </row>
    <row r="54" spans="1:42" s="71" customFormat="1" ht="135" customHeight="1" x14ac:dyDescent="0.35">
      <c r="A54" s="158">
        <v>34</v>
      </c>
      <c r="B54" s="160"/>
      <c r="C54" s="202" t="s">
        <v>215</v>
      </c>
      <c r="D54" s="131">
        <v>23410500</v>
      </c>
      <c r="E54" s="188">
        <v>23410500</v>
      </c>
      <c r="F54" s="131"/>
      <c r="G54" s="189"/>
      <c r="H54" s="190" t="s">
        <v>238</v>
      </c>
      <c r="I54" s="216"/>
      <c r="J54" s="217" t="s">
        <v>68</v>
      </c>
      <c r="K54" s="160" t="s">
        <v>69</v>
      </c>
      <c r="L54" s="160" t="s">
        <v>119</v>
      </c>
      <c r="M54" s="176" t="s">
        <v>126</v>
      </c>
      <c r="N54" s="165"/>
      <c r="O54" s="165"/>
      <c r="P54" s="165"/>
      <c r="Q54" s="165"/>
      <c r="R54" s="165"/>
      <c r="S54" s="165"/>
      <c r="T54" s="165"/>
      <c r="U54" s="165"/>
      <c r="V54" s="165"/>
      <c r="W54" s="165"/>
      <c r="X54" s="165"/>
      <c r="Y54" s="165"/>
      <c r="Z54" s="165"/>
      <c r="AA54" s="165"/>
      <c r="AB54" s="165"/>
      <c r="AC54" s="165"/>
      <c r="AD54" s="165"/>
      <c r="AE54" s="165"/>
      <c r="AF54" s="165"/>
      <c r="AG54" s="165"/>
      <c r="AH54" s="218">
        <v>7</v>
      </c>
      <c r="AI54" s="165"/>
      <c r="AJ54" s="165"/>
      <c r="AK54" s="165"/>
      <c r="AL54" s="165"/>
      <c r="AM54" s="165"/>
      <c r="AN54" s="165"/>
      <c r="AO54" s="176" t="s">
        <v>193</v>
      </c>
    </row>
    <row r="55" spans="1:42" s="138" customFormat="1" ht="42" x14ac:dyDescent="0.35">
      <c r="A55" s="191"/>
      <c r="B55" s="153" t="s">
        <v>202</v>
      </c>
      <c r="C55" s="153"/>
      <c r="D55" s="155">
        <f>SUM(D56:D58)</f>
        <v>1720000</v>
      </c>
      <c r="E55" s="155">
        <f t="shared" ref="E55:G55" si="16">SUM(E56:E58)</f>
        <v>0</v>
      </c>
      <c r="F55" s="155">
        <f t="shared" si="16"/>
        <v>0</v>
      </c>
      <c r="G55" s="155">
        <f t="shared" si="16"/>
        <v>1720000</v>
      </c>
      <c r="H55" s="156"/>
      <c r="I55" s="185">
        <v>4</v>
      </c>
      <c r="J55" s="185"/>
      <c r="K55" s="226"/>
      <c r="L55" s="154"/>
      <c r="M55" s="154"/>
      <c r="N55" s="154"/>
      <c r="O55" s="154"/>
      <c r="P55" s="154"/>
      <c r="Q55" s="154"/>
      <c r="R55" s="154"/>
      <c r="S55" s="154"/>
      <c r="T55" s="154"/>
      <c r="U55" s="154"/>
      <c r="V55" s="154"/>
      <c r="W55" s="154"/>
      <c r="X55" s="154"/>
      <c r="Y55" s="154"/>
      <c r="Z55" s="154"/>
      <c r="AA55" s="154"/>
      <c r="AB55" s="154"/>
      <c r="AC55" s="154"/>
      <c r="AD55" s="154"/>
      <c r="AE55" s="157"/>
      <c r="AF55" s="157"/>
      <c r="AG55" s="157"/>
      <c r="AH55" s="186"/>
      <c r="AI55" s="157"/>
      <c r="AJ55" s="157"/>
      <c r="AK55" s="157"/>
      <c r="AL55" s="157"/>
      <c r="AM55" s="157"/>
      <c r="AN55" s="157"/>
      <c r="AO55" s="192"/>
    </row>
    <row r="56" spans="1:42" s="71" customFormat="1" ht="105" x14ac:dyDescent="0.35">
      <c r="A56" s="193">
        <v>35</v>
      </c>
      <c r="B56" s="183"/>
      <c r="C56" s="284" t="s">
        <v>154</v>
      </c>
      <c r="D56" s="287">
        <v>820000</v>
      </c>
      <c r="E56" s="287"/>
      <c r="F56" s="287"/>
      <c r="G56" s="287">
        <v>820000</v>
      </c>
      <c r="H56" s="271" t="s">
        <v>254</v>
      </c>
      <c r="I56" s="282"/>
      <c r="J56" s="282" t="s">
        <v>88</v>
      </c>
      <c r="K56" s="284" t="s">
        <v>100</v>
      </c>
      <c r="L56" s="285"/>
      <c r="M56" s="285"/>
      <c r="N56" s="285"/>
      <c r="O56" s="285"/>
      <c r="P56" s="285"/>
      <c r="Q56" s="285"/>
      <c r="R56" s="285"/>
      <c r="S56" s="285"/>
      <c r="T56" s="285"/>
      <c r="U56" s="285"/>
      <c r="V56" s="285"/>
      <c r="W56" s="285"/>
      <c r="X56" s="285"/>
      <c r="Y56" s="285"/>
      <c r="Z56" s="285"/>
      <c r="AA56" s="285"/>
      <c r="AB56" s="285"/>
      <c r="AC56" s="285"/>
      <c r="AD56" s="281" t="s">
        <v>197</v>
      </c>
      <c r="AE56" s="279"/>
      <c r="AF56" s="279"/>
      <c r="AG56" s="279"/>
      <c r="AH56" s="280"/>
      <c r="AI56" s="279"/>
      <c r="AJ56" s="279"/>
      <c r="AK56" s="279"/>
      <c r="AL56" s="279"/>
      <c r="AM56" s="279"/>
      <c r="AN56" s="279"/>
      <c r="AO56" s="281" t="s">
        <v>197</v>
      </c>
    </row>
    <row r="57" spans="1:42" s="71" customFormat="1" ht="105" x14ac:dyDescent="0.35">
      <c r="A57" s="193">
        <v>36</v>
      </c>
      <c r="B57" s="183"/>
      <c r="C57" s="284" t="s">
        <v>156</v>
      </c>
      <c r="D57" s="287">
        <v>450000</v>
      </c>
      <c r="E57" s="287"/>
      <c r="F57" s="287"/>
      <c r="G57" s="287">
        <v>450000</v>
      </c>
      <c r="H57" s="271" t="s">
        <v>254</v>
      </c>
      <c r="I57" s="282"/>
      <c r="J57" s="282" t="s">
        <v>88</v>
      </c>
      <c r="K57" s="284" t="s">
        <v>101</v>
      </c>
      <c r="L57" s="285"/>
      <c r="M57" s="285"/>
      <c r="N57" s="285"/>
      <c r="O57" s="285"/>
      <c r="P57" s="285"/>
      <c r="Q57" s="285"/>
      <c r="R57" s="285"/>
      <c r="S57" s="285"/>
      <c r="T57" s="285"/>
      <c r="U57" s="285"/>
      <c r="V57" s="285"/>
      <c r="W57" s="285"/>
      <c r="X57" s="285"/>
      <c r="Y57" s="285"/>
      <c r="Z57" s="285"/>
      <c r="AA57" s="285"/>
      <c r="AB57" s="285"/>
      <c r="AC57" s="285"/>
      <c r="AD57" s="281" t="s">
        <v>197</v>
      </c>
      <c r="AE57" s="279"/>
      <c r="AF57" s="279"/>
      <c r="AG57" s="279"/>
      <c r="AH57" s="280"/>
      <c r="AI57" s="279"/>
      <c r="AJ57" s="279"/>
      <c r="AK57" s="279"/>
      <c r="AL57" s="279"/>
      <c r="AM57" s="279"/>
      <c r="AN57" s="279"/>
      <c r="AO57" s="281" t="s">
        <v>197</v>
      </c>
    </row>
    <row r="58" spans="1:42" s="71" customFormat="1" ht="126" x14ac:dyDescent="0.35">
      <c r="A58" s="193">
        <v>37</v>
      </c>
      <c r="B58" s="183"/>
      <c r="C58" s="284" t="s">
        <v>157</v>
      </c>
      <c r="D58" s="287">
        <v>450000</v>
      </c>
      <c r="E58" s="287"/>
      <c r="F58" s="287"/>
      <c r="G58" s="287">
        <v>450000</v>
      </c>
      <c r="H58" s="271" t="s">
        <v>255</v>
      </c>
      <c r="I58" s="282"/>
      <c r="J58" s="282" t="s">
        <v>88</v>
      </c>
      <c r="K58" s="284" t="s">
        <v>102</v>
      </c>
      <c r="L58" s="285"/>
      <c r="M58" s="285"/>
      <c r="N58" s="285"/>
      <c r="O58" s="285"/>
      <c r="P58" s="285"/>
      <c r="Q58" s="285"/>
      <c r="R58" s="285"/>
      <c r="S58" s="285"/>
      <c r="T58" s="285"/>
      <c r="U58" s="285"/>
      <c r="V58" s="285"/>
      <c r="W58" s="285"/>
      <c r="X58" s="285"/>
      <c r="Y58" s="285"/>
      <c r="Z58" s="285"/>
      <c r="AA58" s="285"/>
      <c r="AB58" s="285"/>
      <c r="AC58" s="285"/>
      <c r="AD58" s="281" t="s">
        <v>197</v>
      </c>
      <c r="AE58" s="279"/>
      <c r="AF58" s="279"/>
      <c r="AG58" s="279"/>
      <c r="AH58" s="280"/>
      <c r="AI58" s="279"/>
      <c r="AJ58" s="279"/>
      <c r="AK58" s="279"/>
      <c r="AL58" s="279"/>
      <c r="AM58" s="279"/>
      <c r="AN58" s="279"/>
      <c r="AO58" s="281" t="s">
        <v>197</v>
      </c>
    </row>
    <row r="59" spans="1:42" s="135" customFormat="1" ht="55.5" customHeight="1" x14ac:dyDescent="0.35">
      <c r="A59" s="268" t="s">
        <v>22</v>
      </c>
      <c r="B59" s="268"/>
      <c r="C59" s="268"/>
      <c r="D59" s="150">
        <f>D60</f>
        <v>14521780</v>
      </c>
      <c r="E59" s="150">
        <f t="shared" ref="E59:G59" si="17">E60</f>
        <v>0</v>
      </c>
      <c r="F59" s="150">
        <f t="shared" si="17"/>
        <v>4014580</v>
      </c>
      <c r="G59" s="150">
        <f t="shared" si="17"/>
        <v>10507200</v>
      </c>
      <c r="H59" s="194"/>
      <c r="I59" s="224"/>
      <c r="J59" s="212"/>
      <c r="K59" s="178"/>
      <c r="L59" s="178"/>
      <c r="M59" s="151"/>
      <c r="N59" s="151"/>
      <c r="O59" s="151"/>
      <c r="P59" s="151"/>
      <c r="Q59" s="151"/>
      <c r="R59" s="151"/>
      <c r="S59" s="151"/>
      <c r="T59" s="151"/>
      <c r="U59" s="151"/>
      <c r="V59" s="151"/>
      <c r="W59" s="151"/>
      <c r="X59" s="151"/>
      <c r="Y59" s="151"/>
      <c r="Z59" s="151"/>
      <c r="AA59" s="151"/>
      <c r="AB59" s="151"/>
      <c r="AC59" s="151"/>
      <c r="AD59" s="151"/>
      <c r="AE59" s="151"/>
      <c r="AF59" s="151"/>
      <c r="AG59" s="151"/>
      <c r="AH59" s="214"/>
      <c r="AI59" s="151"/>
      <c r="AJ59" s="151"/>
      <c r="AK59" s="151"/>
      <c r="AL59" s="151"/>
      <c r="AM59" s="151"/>
      <c r="AN59" s="151"/>
      <c r="AO59" s="151"/>
    </row>
    <row r="60" spans="1:42" s="139" customFormat="1" ht="65.25" customHeight="1" x14ac:dyDescent="0.35">
      <c r="A60" s="152"/>
      <c r="B60" s="153" t="s">
        <v>184</v>
      </c>
      <c r="C60" s="153"/>
      <c r="D60" s="155">
        <f>SUM(D61:D63)</f>
        <v>14521780</v>
      </c>
      <c r="E60" s="155">
        <f t="shared" ref="E60:G60" si="18">SUM(E61:E63)</f>
        <v>0</v>
      </c>
      <c r="F60" s="155">
        <f t="shared" si="18"/>
        <v>4014580</v>
      </c>
      <c r="G60" s="155">
        <f t="shared" si="18"/>
        <v>10507200</v>
      </c>
      <c r="H60" s="156"/>
      <c r="I60" s="185">
        <v>5</v>
      </c>
      <c r="J60" s="185"/>
      <c r="K60" s="185"/>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86"/>
      <c r="AI60" s="154"/>
      <c r="AJ60" s="154"/>
      <c r="AK60" s="154"/>
      <c r="AL60" s="154"/>
      <c r="AM60" s="154"/>
      <c r="AN60" s="154"/>
      <c r="AO60" s="154"/>
    </row>
    <row r="61" spans="1:42" s="71" customFormat="1" ht="239.25" customHeight="1" x14ac:dyDescent="0.35">
      <c r="A61" s="158">
        <v>38</v>
      </c>
      <c r="B61" s="160"/>
      <c r="C61" s="202" t="s">
        <v>211</v>
      </c>
      <c r="D61" s="131">
        <v>9015880</v>
      </c>
      <c r="E61" s="131"/>
      <c r="F61" s="131">
        <v>4014580</v>
      </c>
      <c r="G61" s="131">
        <v>5001300</v>
      </c>
      <c r="H61" s="160" t="s">
        <v>239</v>
      </c>
      <c r="I61" s="216"/>
      <c r="J61" s="217" t="s">
        <v>70</v>
      </c>
      <c r="K61" s="160" t="s">
        <v>72</v>
      </c>
      <c r="L61" s="160" t="s">
        <v>120</v>
      </c>
      <c r="M61" s="162" t="s">
        <v>127</v>
      </c>
      <c r="N61" s="165"/>
      <c r="O61" s="165"/>
      <c r="P61" s="165"/>
      <c r="Q61" s="165"/>
      <c r="R61" s="165"/>
      <c r="S61" s="165"/>
      <c r="T61" s="165"/>
      <c r="U61" s="165"/>
      <c r="V61" s="165"/>
      <c r="W61" s="165"/>
      <c r="X61" s="165"/>
      <c r="Y61" s="165"/>
      <c r="Z61" s="165"/>
      <c r="AA61" s="165"/>
      <c r="AB61" s="165"/>
      <c r="AC61" s="165"/>
      <c r="AD61" s="165"/>
      <c r="AE61" s="165"/>
      <c r="AF61" s="165"/>
      <c r="AG61" s="165"/>
      <c r="AH61" s="218">
        <v>6</v>
      </c>
      <c r="AI61" s="165"/>
      <c r="AJ61" s="165"/>
      <c r="AK61" s="165"/>
      <c r="AL61" s="165"/>
      <c r="AM61" s="165"/>
      <c r="AN61" s="165"/>
      <c r="AO61" s="115" t="s">
        <v>194</v>
      </c>
      <c r="AP61" s="205" t="s">
        <v>216</v>
      </c>
    </row>
    <row r="62" spans="1:42" s="71" customFormat="1" ht="257.25" customHeight="1" x14ac:dyDescent="0.35">
      <c r="A62" s="158">
        <v>39</v>
      </c>
      <c r="B62" s="160"/>
      <c r="C62" s="271" t="s">
        <v>147</v>
      </c>
      <c r="D62" s="273">
        <v>2905900</v>
      </c>
      <c r="E62" s="273"/>
      <c r="F62" s="273"/>
      <c r="G62" s="273">
        <v>2905900</v>
      </c>
      <c r="H62" s="271" t="s">
        <v>256</v>
      </c>
      <c r="I62" s="276"/>
      <c r="J62" s="277" t="s">
        <v>73</v>
      </c>
      <c r="K62" s="271" t="s">
        <v>74</v>
      </c>
      <c r="L62" s="271" t="s">
        <v>121</v>
      </c>
      <c r="M62" s="279"/>
      <c r="N62" s="279"/>
      <c r="O62" s="279"/>
      <c r="P62" s="279"/>
      <c r="Q62" s="279"/>
      <c r="R62" s="279"/>
      <c r="S62" s="279"/>
      <c r="T62" s="279"/>
      <c r="U62" s="279"/>
      <c r="V62" s="279"/>
      <c r="W62" s="279"/>
      <c r="X62" s="279"/>
      <c r="Y62" s="279"/>
      <c r="Z62" s="279"/>
      <c r="AA62" s="279"/>
      <c r="AB62" s="279"/>
      <c r="AC62" s="279"/>
      <c r="AD62" s="279"/>
      <c r="AE62" s="279"/>
      <c r="AF62" s="279"/>
      <c r="AG62" s="279"/>
      <c r="AH62" s="280">
        <v>4</v>
      </c>
      <c r="AI62" s="279"/>
      <c r="AJ62" s="279"/>
      <c r="AK62" s="279"/>
      <c r="AL62" s="279"/>
      <c r="AM62" s="279"/>
      <c r="AN62" s="279"/>
      <c r="AO62" s="281" t="s">
        <v>195</v>
      </c>
    </row>
    <row r="63" spans="1:42" s="71" customFormat="1" ht="63" x14ac:dyDescent="0.35">
      <c r="A63" s="158">
        <v>40</v>
      </c>
      <c r="B63" s="160"/>
      <c r="C63" s="271" t="s">
        <v>158</v>
      </c>
      <c r="D63" s="273">
        <v>2600000</v>
      </c>
      <c r="E63" s="273"/>
      <c r="F63" s="273"/>
      <c r="G63" s="273">
        <v>2600000</v>
      </c>
      <c r="H63" s="271" t="s">
        <v>257</v>
      </c>
      <c r="I63" s="276"/>
      <c r="J63" s="276"/>
      <c r="K63" s="290"/>
      <c r="L63" s="279"/>
      <c r="M63" s="279"/>
      <c r="N63" s="279"/>
      <c r="O63" s="279"/>
      <c r="P63" s="279"/>
      <c r="Q63" s="279"/>
      <c r="R63" s="279"/>
      <c r="S63" s="279"/>
      <c r="T63" s="279"/>
      <c r="U63" s="279"/>
      <c r="V63" s="279"/>
      <c r="W63" s="279"/>
      <c r="X63" s="279"/>
      <c r="Y63" s="279"/>
      <c r="Z63" s="279"/>
      <c r="AA63" s="279"/>
      <c r="AB63" s="279"/>
      <c r="AC63" s="279"/>
      <c r="AD63" s="281" t="s">
        <v>197</v>
      </c>
      <c r="AE63" s="279"/>
      <c r="AF63" s="279"/>
      <c r="AG63" s="279"/>
      <c r="AH63" s="280"/>
      <c r="AI63" s="279"/>
      <c r="AJ63" s="279"/>
      <c r="AK63" s="279"/>
      <c r="AL63" s="279"/>
      <c r="AM63" s="279"/>
      <c r="AN63" s="279"/>
      <c r="AO63" s="281" t="s">
        <v>197</v>
      </c>
    </row>
    <row r="64" spans="1:42" s="15" customFormat="1" ht="24.95" customHeight="1" x14ac:dyDescent="0.35">
      <c r="A64" s="195"/>
      <c r="B64" s="264" t="s">
        <v>24</v>
      </c>
      <c r="C64" s="264"/>
      <c r="D64" s="206">
        <v>4000000</v>
      </c>
      <c r="E64" s="206">
        <v>4000000</v>
      </c>
      <c r="F64" s="206"/>
      <c r="G64" s="207"/>
      <c r="H64" s="201"/>
      <c r="I64" s="142"/>
      <c r="J64" s="142"/>
      <c r="K64" s="142"/>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4">
        <v>8</v>
      </c>
      <c r="AI64" s="143"/>
      <c r="AJ64" s="143"/>
      <c r="AK64" s="143"/>
      <c r="AL64" s="143"/>
      <c r="AM64" s="143"/>
      <c r="AN64" s="143"/>
      <c r="AO64" s="208"/>
    </row>
    <row r="65" spans="1:41" s="15" customFormat="1" ht="24.95" customHeight="1" thickBot="1" x14ac:dyDescent="0.4">
      <c r="A65" s="195"/>
      <c r="B65" s="196"/>
      <c r="C65" s="197" t="s">
        <v>11</v>
      </c>
      <c r="D65" s="198">
        <f>D4+D23+D32+D49+D59+D64</f>
        <v>966362880</v>
      </c>
      <c r="E65" s="198">
        <f>E4+E23+E32+E49+E59+E64</f>
        <v>573910500</v>
      </c>
      <c r="F65" s="198">
        <f>F4+F23+F32+F49+F59</f>
        <v>71094580</v>
      </c>
      <c r="G65" s="198">
        <f>G4+G23+G32+G49+G59</f>
        <v>321357800</v>
      </c>
      <c r="H65" s="199"/>
      <c r="I65" s="142"/>
      <c r="J65" s="142"/>
      <c r="K65" s="142"/>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4"/>
      <c r="AI65" s="143"/>
      <c r="AJ65" s="143"/>
      <c r="AK65" s="143"/>
      <c r="AL65" s="143"/>
      <c r="AM65" s="143"/>
      <c r="AN65" s="143"/>
      <c r="AO65" s="200"/>
    </row>
    <row r="66" spans="1:41" s="69" customFormat="1" ht="59.25" thickTop="1" x14ac:dyDescent="0.3">
      <c r="A66" s="133"/>
      <c r="B66" s="72"/>
      <c r="C66" s="73"/>
      <c r="D66" s="127"/>
      <c r="E66" s="128"/>
      <c r="F66" s="128"/>
      <c r="G66" s="129"/>
      <c r="H66" s="74"/>
      <c r="I66" s="82"/>
      <c r="J66" s="85"/>
      <c r="K66" s="80"/>
      <c r="AH66" s="112"/>
    </row>
    <row r="67" spans="1:41" x14ac:dyDescent="0.35">
      <c r="B67" s="16"/>
      <c r="D67" s="130"/>
      <c r="H67" s="102"/>
    </row>
    <row r="68" spans="1:41" x14ac:dyDescent="0.35">
      <c r="B68" s="68"/>
      <c r="D68" s="130"/>
      <c r="H68" s="102"/>
    </row>
    <row r="69" spans="1:41" x14ac:dyDescent="0.35">
      <c r="B69" s="68"/>
      <c r="D69" s="130"/>
      <c r="H69" s="102"/>
    </row>
    <row r="70" spans="1:41" x14ac:dyDescent="0.35">
      <c r="B70" s="68"/>
      <c r="D70" s="130"/>
      <c r="H70" s="102"/>
    </row>
    <row r="71" spans="1:41" x14ac:dyDescent="0.35">
      <c r="B71" s="68"/>
      <c r="D71" s="130"/>
      <c r="H71" s="103"/>
    </row>
    <row r="72" spans="1:41" x14ac:dyDescent="0.3">
      <c r="B72" s="68"/>
      <c r="D72" s="130"/>
    </row>
    <row r="73" spans="1:41" x14ac:dyDescent="0.3">
      <c r="B73" s="16"/>
    </row>
  </sheetData>
  <autoFilter ref="A3:AO3"/>
  <mergeCells count="7">
    <mergeCell ref="B64:C64"/>
    <mergeCell ref="A1:H2"/>
    <mergeCell ref="A4:C4"/>
    <mergeCell ref="A23:C23"/>
    <mergeCell ref="A32:C32"/>
    <mergeCell ref="A49:C49"/>
    <mergeCell ref="A59:C59"/>
  </mergeCells>
  <pageMargins left="0.19685039370078741" right="0.19685039370078741" top="0.59055118110236227" bottom="0.19685039370078741" header="0.31496062992125984" footer="0.31496062992125984"/>
  <pageSetup paperSize="9" scale="63" fitToHeight="0" orientation="landscape" r:id="rId1"/>
  <headerFooter>
    <oddFooter>&amp;C&amp;"TH SarabunPSK,Regular"&amp;14กลุ่มจังหวัดภาคตะวันออก 1
(ส่วนที่ 1)&amp;R&amp;"TH SarabunPSK,Regular"&amp;14หน้า&amp;P/&amp;N</oddFooter>
  </headerFooter>
  <rowBreaks count="8" manualBreakCount="8">
    <brk id="11" max="40" man="1"/>
    <brk id="16" max="40" man="1"/>
    <brk id="22" max="40" man="1"/>
    <brk id="35" max="41" man="1"/>
    <brk id="42" max="41" man="1"/>
    <brk id="48" max="40" man="1"/>
    <brk id="54" max="40" man="1"/>
    <brk id="60" max="4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5"/>
  <sheetViews>
    <sheetView topLeftCell="A22" workbookViewId="0">
      <selection activeCell="K24" sqref="K24"/>
    </sheetView>
  </sheetViews>
  <sheetFormatPr defaultRowHeight="14.25" x14ac:dyDescent="0.2"/>
  <cols>
    <col min="2" max="2" width="11.875" style="86" customWidth="1"/>
    <col min="3" max="3" width="13" style="86" customWidth="1"/>
    <col min="4" max="4" width="14.5" style="89" customWidth="1"/>
    <col min="5" max="7" width="14.5" style="87" customWidth="1"/>
    <col min="8" max="8" width="14.5" style="89" customWidth="1"/>
  </cols>
  <sheetData>
    <row r="2" spans="2:9" x14ac:dyDescent="0.2">
      <c r="E2" s="270" t="s">
        <v>4</v>
      </c>
      <c r="F2" s="270"/>
      <c r="G2" s="270"/>
    </row>
    <row r="3" spans="2:9" x14ac:dyDescent="0.2">
      <c r="B3" s="86" t="s">
        <v>34</v>
      </c>
      <c r="C3" s="86" t="s">
        <v>35</v>
      </c>
      <c r="D3" s="90" t="s">
        <v>29</v>
      </c>
      <c r="E3" s="88" t="s">
        <v>30</v>
      </c>
      <c r="F3" s="88" t="s">
        <v>31</v>
      </c>
      <c r="G3" s="88" t="s">
        <v>32</v>
      </c>
      <c r="H3" s="90" t="s">
        <v>33</v>
      </c>
    </row>
    <row r="4" spans="2:9" ht="20.25" customHeight="1" x14ac:dyDescent="0.2">
      <c r="B4" s="91">
        <v>1</v>
      </c>
      <c r="C4" s="91"/>
      <c r="D4" s="92"/>
      <c r="E4" s="92"/>
      <c r="F4" s="92"/>
      <c r="G4" s="92"/>
      <c r="H4" s="89">
        <f>E4+F4+G4</f>
        <v>0</v>
      </c>
      <c r="I4">
        <f>COUNTIF(H4:H32,"&gt;0")</f>
        <v>22</v>
      </c>
    </row>
    <row r="5" spans="2:9" ht="20.25" customHeight="1" x14ac:dyDescent="0.2">
      <c r="C5" s="86">
        <v>1.1000000000000001</v>
      </c>
      <c r="D5" s="89">
        <v>22000000</v>
      </c>
      <c r="E5" s="106">
        <v>22000000</v>
      </c>
      <c r="F5" s="106"/>
      <c r="H5" s="89">
        <f t="shared" ref="H5:H32" si="0">E5+F5+G5</f>
        <v>22000000</v>
      </c>
    </row>
    <row r="6" spans="2:9" ht="20.25" customHeight="1" x14ac:dyDescent="0.2">
      <c r="C6" s="86">
        <v>1.2</v>
      </c>
      <c r="D6" s="89">
        <v>34000000</v>
      </c>
      <c r="G6" s="106">
        <v>34000000</v>
      </c>
      <c r="H6" s="89">
        <f t="shared" si="0"/>
        <v>34000000</v>
      </c>
    </row>
    <row r="7" spans="2:9" ht="20.25" customHeight="1" x14ac:dyDescent="0.2">
      <c r="B7" s="91">
        <v>2</v>
      </c>
      <c r="C7" s="91"/>
      <c r="D7" s="92">
        <v>21000000</v>
      </c>
      <c r="E7" s="92">
        <v>21000000</v>
      </c>
      <c r="F7" s="92"/>
      <c r="G7" s="107"/>
      <c r="H7" s="89">
        <f t="shared" si="0"/>
        <v>21000000</v>
      </c>
    </row>
    <row r="8" spans="2:9" ht="20.25" customHeight="1" x14ac:dyDescent="0.2">
      <c r="B8" s="91">
        <v>3</v>
      </c>
      <c r="C8" s="91"/>
      <c r="D8" s="92">
        <v>25000000</v>
      </c>
      <c r="E8" s="106">
        <v>15000000</v>
      </c>
      <c r="F8" s="92"/>
      <c r="G8" s="106">
        <v>10000000</v>
      </c>
      <c r="H8" s="89">
        <f t="shared" si="0"/>
        <v>25000000</v>
      </c>
    </row>
    <row r="9" spans="2:9" ht="20.25" customHeight="1" x14ac:dyDescent="0.2">
      <c r="B9" s="91">
        <v>4</v>
      </c>
      <c r="C9" s="91"/>
      <c r="D9" s="92"/>
      <c r="E9" s="92"/>
      <c r="F9" s="92"/>
      <c r="G9" s="92"/>
      <c r="H9" s="89">
        <f t="shared" si="0"/>
        <v>0</v>
      </c>
    </row>
    <row r="10" spans="2:9" ht="20.25" customHeight="1" x14ac:dyDescent="0.2">
      <c r="C10" s="86">
        <v>4.0999999999999996</v>
      </c>
      <c r="D10" s="89">
        <v>50000000</v>
      </c>
      <c r="E10" s="106">
        <v>50000000</v>
      </c>
      <c r="H10" s="89">
        <f t="shared" si="0"/>
        <v>50000000</v>
      </c>
    </row>
    <row r="11" spans="2:9" ht="20.25" customHeight="1" x14ac:dyDescent="0.2">
      <c r="C11" s="86">
        <v>4.2</v>
      </c>
      <c r="D11" s="89">
        <v>50000000</v>
      </c>
      <c r="E11" s="106">
        <v>50000000</v>
      </c>
      <c r="H11" s="89">
        <f t="shared" si="0"/>
        <v>50000000</v>
      </c>
    </row>
    <row r="12" spans="2:9" ht="20.25" customHeight="1" x14ac:dyDescent="0.2">
      <c r="C12" s="86">
        <v>4.3</v>
      </c>
      <c r="D12" s="89">
        <v>36500000</v>
      </c>
      <c r="E12" s="106">
        <v>36500000</v>
      </c>
      <c r="H12" s="89">
        <f t="shared" si="0"/>
        <v>36500000</v>
      </c>
    </row>
    <row r="13" spans="2:9" ht="20.25" customHeight="1" x14ac:dyDescent="0.2">
      <c r="C13" s="86">
        <v>4.4000000000000004</v>
      </c>
      <c r="D13" s="89">
        <v>13000000</v>
      </c>
      <c r="E13" s="106">
        <v>13000000</v>
      </c>
      <c r="H13" s="89">
        <f t="shared" si="0"/>
        <v>13000000</v>
      </c>
    </row>
    <row r="14" spans="2:9" ht="20.25" customHeight="1" x14ac:dyDescent="0.2">
      <c r="B14" s="91">
        <v>5</v>
      </c>
      <c r="C14" s="91"/>
      <c r="D14" s="92">
        <v>50000000</v>
      </c>
      <c r="E14" s="106">
        <v>50000000</v>
      </c>
      <c r="F14" s="92"/>
      <c r="G14" s="92"/>
      <c r="H14" s="89">
        <f t="shared" si="0"/>
        <v>50000000</v>
      </c>
    </row>
    <row r="15" spans="2:9" ht="20.25" customHeight="1" x14ac:dyDescent="0.2">
      <c r="B15" s="91">
        <v>6</v>
      </c>
      <c r="C15" s="91"/>
      <c r="D15" s="92"/>
      <c r="E15" s="92"/>
      <c r="F15" s="92"/>
      <c r="G15" s="92"/>
      <c r="H15" s="89">
        <f t="shared" si="0"/>
        <v>0</v>
      </c>
    </row>
    <row r="16" spans="2:9" s="83" customFormat="1" ht="20.25" customHeight="1" x14ac:dyDescent="0.2">
      <c r="B16" s="86"/>
      <c r="C16" s="86">
        <v>6.1</v>
      </c>
      <c r="D16" s="89">
        <v>6335900</v>
      </c>
      <c r="E16" s="87"/>
      <c r="F16" s="87"/>
      <c r="G16" s="106">
        <v>6335900</v>
      </c>
      <c r="H16" s="89">
        <f t="shared" si="0"/>
        <v>6335900</v>
      </c>
    </row>
    <row r="17" spans="2:8" s="83" customFormat="1" ht="20.25" customHeight="1" x14ac:dyDescent="0.2">
      <c r="B17" s="86"/>
      <c r="C17" s="86">
        <v>6.2</v>
      </c>
      <c r="D17" s="89">
        <v>12693700</v>
      </c>
      <c r="E17" s="87"/>
      <c r="F17" s="87"/>
      <c r="G17" s="106">
        <v>12693700</v>
      </c>
      <c r="H17" s="89">
        <f>E17+F17+G17</f>
        <v>12693700</v>
      </c>
    </row>
    <row r="18" spans="2:8" s="83" customFormat="1" ht="20.25" customHeight="1" x14ac:dyDescent="0.2">
      <c r="B18" s="91">
        <v>7</v>
      </c>
      <c r="C18" s="91"/>
      <c r="D18" s="92"/>
      <c r="E18" s="92"/>
      <c r="F18" s="92"/>
      <c r="G18" s="92"/>
      <c r="H18" s="89">
        <f t="shared" si="0"/>
        <v>0</v>
      </c>
    </row>
    <row r="19" spans="2:8" s="83" customFormat="1" ht="20.25" customHeight="1" x14ac:dyDescent="0.2">
      <c r="B19" s="86"/>
      <c r="C19" s="86"/>
      <c r="D19" s="89">
        <v>23410500</v>
      </c>
      <c r="E19" s="106">
        <v>23410500</v>
      </c>
      <c r="F19" s="106"/>
      <c r="G19" s="106"/>
      <c r="H19" s="89">
        <f t="shared" si="0"/>
        <v>23410500</v>
      </c>
    </row>
    <row r="20" spans="2:8" s="83" customFormat="1" ht="20.25" customHeight="1" x14ac:dyDescent="0.2">
      <c r="B20" s="91">
        <v>8</v>
      </c>
      <c r="C20" s="91"/>
      <c r="D20" s="94"/>
      <c r="E20" s="92"/>
      <c r="F20" s="92"/>
      <c r="G20" s="92"/>
      <c r="H20" s="89">
        <f t="shared" si="0"/>
        <v>0</v>
      </c>
    </row>
    <row r="21" spans="2:8" s="83" customFormat="1" ht="20.25" customHeight="1" x14ac:dyDescent="0.2">
      <c r="B21" s="86"/>
      <c r="C21" s="86">
        <v>8.1</v>
      </c>
      <c r="D21" s="93">
        <v>5300000</v>
      </c>
      <c r="E21" s="87"/>
      <c r="F21" s="87"/>
      <c r="G21" s="106">
        <v>5300000</v>
      </c>
      <c r="H21" s="89">
        <f t="shared" si="0"/>
        <v>5300000</v>
      </c>
    </row>
    <row r="22" spans="2:8" s="83" customFormat="1" ht="20.25" customHeight="1" x14ac:dyDescent="0.2">
      <c r="B22" s="86"/>
      <c r="C22" s="86">
        <v>8.1999999999999993</v>
      </c>
      <c r="D22" s="93">
        <v>5000000</v>
      </c>
      <c r="E22" s="87"/>
      <c r="F22" s="87"/>
      <c r="G22" s="106">
        <v>5000000</v>
      </c>
      <c r="H22" s="89">
        <f t="shared" si="0"/>
        <v>5000000</v>
      </c>
    </row>
    <row r="23" spans="2:8" s="83" customFormat="1" ht="20.25" customHeight="1" x14ac:dyDescent="0.2">
      <c r="B23" s="91">
        <v>9</v>
      </c>
      <c r="C23" s="91"/>
      <c r="D23" s="95">
        <v>50000000</v>
      </c>
      <c r="E23" s="106">
        <v>50000000</v>
      </c>
      <c r="F23" s="92"/>
      <c r="G23" s="92"/>
      <c r="H23" s="89">
        <f t="shared" si="0"/>
        <v>50000000</v>
      </c>
    </row>
    <row r="24" spans="2:8" s="83" customFormat="1" ht="20.25" customHeight="1" x14ac:dyDescent="0.2">
      <c r="B24" s="91">
        <v>10</v>
      </c>
      <c r="C24" s="91"/>
      <c r="D24" s="94">
        <v>49000000</v>
      </c>
      <c r="E24" s="106"/>
      <c r="F24" s="106">
        <v>49000000</v>
      </c>
      <c r="G24" s="106"/>
      <c r="H24" s="89">
        <f t="shared" si="0"/>
        <v>49000000</v>
      </c>
    </row>
    <row r="25" spans="2:8" s="83" customFormat="1" ht="20.25" customHeight="1" x14ac:dyDescent="0.2">
      <c r="B25" s="91">
        <v>11</v>
      </c>
      <c r="C25" s="91"/>
      <c r="D25" s="92"/>
      <c r="E25" s="92"/>
      <c r="F25" s="92"/>
      <c r="G25" s="92"/>
      <c r="H25" s="89">
        <f t="shared" si="0"/>
        <v>0</v>
      </c>
    </row>
    <row r="26" spans="2:8" s="83" customFormat="1" ht="20.25" customHeight="1" x14ac:dyDescent="0.2">
      <c r="B26" s="86"/>
      <c r="C26" s="86">
        <v>11.1</v>
      </c>
      <c r="D26" s="89">
        <v>9015880</v>
      </c>
      <c r="E26" s="87"/>
      <c r="F26" s="87">
        <v>4014580</v>
      </c>
      <c r="G26" s="106">
        <v>5001300</v>
      </c>
      <c r="H26" s="89">
        <f t="shared" si="0"/>
        <v>9015880</v>
      </c>
    </row>
    <row r="27" spans="2:8" s="97" customFormat="1" ht="20.25" customHeight="1" x14ac:dyDescent="0.2">
      <c r="B27" s="86"/>
      <c r="C27" s="86">
        <v>11.2</v>
      </c>
      <c r="D27" s="89">
        <v>2905900</v>
      </c>
      <c r="E27" s="98"/>
      <c r="F27" s="98"/>
      <c r="G27" s="106">
        <v>2905900</v>
      </c>
      <c r="H27" s="89">
        <f t="shared" si="0"/>
        <v>2905900</v>
      </c>
    </row>
    <row r="28" spans="2:8" s="83" customFormat="1" ht="20.25" customHeight="1" x14ac:dyDescent="0.2">
      <c r="B28" s="91">
        <v>12</v>
      </c>
      <c r="C28" s="91"/>
      <c r="D28" s="92"/>
      <c r="E28" s="92"/>
      <c r="F28" s="92"/>
      <c r="G28" s="92"/>
      <c r="H28" s="89">
        <f t="shared" si="0"/>
        <v>0</v>
      </c>
    </row>
    <row r="29" spans="2:8" s="83" customFormat="1" ht="20.25" customHeight="1" x14ac:dyDescent="0.2">
      <c r="B29" s="86"/>
      <c r="C29" s="86">
        <v>12.1</v>
      </c>
      <c r="D29" s="89">
        <v>10000000</v>
      </c>
      <c r="E29" s="87"/>
      <c r="F29" s="106">
        <v>10000000</v>
      </c>
      <c r="G29" s="87"/>
      <c r="H29" s="89">
        <f t="shared" si="0"/>
        <v>10000000</v>
      </c>
    </row>
    <row r="30" spans="2:8" s="83" customFormat="1" ht="20.25" customHeight="1" x14ac:dyDescent="0.2">
      <c r="B30" s="86"/>
      <c r="C30" s="86">
        <v>12.2</v>
      </c>
      <c r="D30" s="89">
        <v>8080000</v>
      </c>
      <c r="E30" s="87"/>
      <c r="F30" s="106">
        <v>8080000</v>
      </c>
      <c r="G30" s="87"/>
      <c r="H30" s="89">
        <f t="shared" si="0"/>
        <v>8080000</v>
      </c>
    </row>
    <row r="31" spans="2:8" s="83" customFormat="1" ht="20.25" customHeight="1" x14ac:dyDescent="0.2">
      <c r="B31" s="91">
        <v>13</v>
      </c>
      <c r="C31" s="91"/>
      <c r="D31" s="92">
        <v>2000000</v>
      </c>
      <c r="E31" s="92"/>
      <c r="F31" s="92"/>
      <c r="G31" s="106">
        <v>2000000</v>
      </c>
      <c r="H31" s="89">
        <f t="shared" si="0"/>
        <v>2000000</v>
      </c>
    </row>
    <row r="32" spans="2:8" s="83" customFormat="1" ht="20.25" customHeight="1" x14ac:dyDescent="0.2">
      <c r="B32" s="91">
        <v>14</v>
      </c>
      <c r="C32" s="91"/>
      <c r="D32" s="92">
        <v>21000000</v>
      </c>
      <c r="E32" s="92"/>
      <c r="F32" s="92"/>
      <c r="G32" s="106">
        <v>21000000</v>
      </c>
      <c r="H32" s="89">
        <f t="shared" si="0"/>
        <v>21000000</v>
      </c>
    </row>
    <row r="33" spans="3:8" ht="28.5" customHeight="1" x14ac:dyDescent="0.2">
      <c r="C33" s="86" t="s">
        <v>33</v>
      </c>
      <c r="D33" s="89">
        <f>SUM(D4:D32)</f>
        <v>506241880</v>
      </c>
      <c r="E33" s="89">
        <f>SUM(E4:E32)</f>
        <v>330910500</v>
      </c>
      <c r="F33" s="89">
        <f>SUM(F4:F32)</f>
        <v>71094580</v>
      </c>
      <c r="G33" s="89">
        <f>SUM(G4:G32)</f>
        <v>104236800</v>
      </c>
      <c r="H33" s="89">
        <f>E33+F33+G33</f>
        <v>506241880</v>
      </c>
    </row>
    <row r="34" spans="3:8" ht="28.5" customHeight="1" x14ac:dyDescent="0.2">
      <c r="E34" s="87" t="s">
        <v>75</v>
      </c>
    </row>
    <row r="35" spans="3:8" x14ac:dyDescent="0.2">
      <c r="C35" s="86" t="s">
        <v>37</v>
      </c>
      <c r="D35" s="89">
        <v>319503600</v>
      </c>
      <c r="E35" s="87">
        <f>D35-E33</f>
        <v>-11406900</v>
      </c>
    </row>
  </sheetData>
  <mergeCells count="1">
    <mergeCell ref="E2:G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
  <sheetViews>
    <sheetView workbookViewId="0">
      <selection activeCell="F19" sqref="F19"/>
    </sheetView>
  </sheetViews>
  <sheetFormatPr defaultRowHeight="14.25" x14ac:dyDescent="0.2"/>
  <cols>
    <col min="1" max="1" width="9" style="97"/>
    <col min="2" max="2" width="42.625" style="97" customWidth="1"/>
    <col min="3" max="6" width="20.625" style="97" customWidth="1"/>
    <col min="7" max="8" width="20.625" style="97" hidden="1" customWidth="1"/>
    <col min="9" max="10" width="20.625" style="97" customWidth="1"/>
    <col min="11" max="16384" width="9" style="97"/>
  </cols>
  <sheetData>
    <row r="2" spans="1:10" x14ac:dyDescent="0.2">
      <c r="C2" s="262" t="s">
        <v>173</v>
      </c>
      <c r="D2" s="262"/>
      <c r="E2" s="262" t="s">
        <v>174</v>
      </c>
      <c r="F2" s="262"/>
      <c r="I2" s="263" t="s">
        <v>175</v>
      </c>
      <c r="J2" s="263"/>
    </row>
    <row r="3" spans="1:10" ht="21" x14ac:dyDescent="0.35">
      <c r="A3" s="114" t="s">
        <v>170</v>
      </c>
      <c r="B3" s="114" t="s">
        <v>169</v>
      </c>
      <c r="C3" s="114" t="s">
        <v>168</v>
      </c>
      <c r="D3" s="114" t="s">
        <v>29</v>
      </c>
      <c r="E3" s="114" t="s">
        <v>168</v>
      </c>
      <c r="F3" s="114" t="s">
        <v>29</v>
      </c>
      <c r="G3" s="120" t="s">
        <v>172</v>
      </c>
      <c r="H3" s="120" t="s">
        <v>31</v>
      </c>
      <c r="I3" s="114" t="s">
        <v>168</v>
      </c>
      <c r="J3" s="114" t="s">
        <v>29</v>
      </c>
    </row>
    <row r="4" spans="1:10" ht="39.950000000000003" customHeight="1" x14ac:dyDescent="0.35">
      <c r="A4" s="113">
        <v>1</v>
      </c>
      <c r="B4" s="115" t="s">
        <v>160</v>
      </c>
      <c r="C4" s="114"/>
      <c r="D4" s="117"/>
      <c r="E4" s="114"/>
      <c r="F4" s="114"/>
      <c r="G4" s="120"/>
      <c r="H4" s="120"/>
      <c r="I4" s="114"/>
      <c r="J4" s="114"/>
    </row>
    <row r="5" spans="1:10" ht="39.950000000000003" customHeight="1" x14ac:dyDescent="0.35">
      <c r="A5" s="113">
        <v>1.1000000000000001</v>
      </c>
      <c r="B5" s="115" t="s">
        <v>167</v>
      </c>
      <c r="C5" s="114" t="e">
        <f>COUNTIF(#REF!,1)</f>
        <v>#REF!</v>
      </c>
      <c r="D5" s="117" t="e">
        <f>SUMIF(#REF!,1,#REF!)</f>
        <v>#REF!</v>
      </c>
      <c r="E5" s="114" t="e">
        <f>COUNTIFS(#REF!,1,#REF!,"&gt;0")</f>
        <v>#REF!</v>
      </c>
      <c r="F5" s="117" t="e">
        <f>SUMIFS(#REF!,#REF!,1,#REF!,"&gt;0")</f>
        <v>#REF!</v>
      </c>
      <c r="G5" s="121"/>
      <c r="H5" s="121"/>
      <c r="I5" s="114" t="e">
        <f>SUM(C5-E5)</f>
        <v>#REF!</v>
      </c>
      <c r="J5" s="114" t="e">
        <f>SUM(D5-F5)</f>
        <v>#REF!</v>
      </c>
    </row>
    <row r="6" spans="1:10" ht="39.950000000000003" customHeight="1" x14ac:dyDescent="0.35">
      <c r="A6" s="113">
        <v>1.2</v>
      </c>
      <c r="B6" s="115" t="s">
        <v>161</v>
      </c>
      <c r="C6" s="114" t="e">
        <f>COUNTIF(#REF!,2)</f>
        <v>#REF!</v>
      </c>
      <c r="D6" s="117" t="e">
        <f>SUMIF(#REF!,2,#REF!)</f>
        <v>#REF!</v>
      </c>
      <c r="E6" s="114" t="e">
        <f>COUNTIFS(#REF!,2,#REF!,"&gt;0")</f>
        <v>#REF!</v>
      </c>
      <c r="F6" s="117" t="e">
        <f>SUMIFS(#REF!,#REF!,2,#REF!,"&gt;0")</f>
        <v>#REF!</v>
      </c>
      <c r="G6" s="121"/>
      <c r="H6" s="121"/>
      <c r="I6" s="114" t="e">
        <f t="shared" ref="I6:I12" si="0">SUM(C6-E6)</f>
        <v>#REF!</v>
      </c>
      <c r="J6" s="114" t="e">
        <f t="shared" ref="J6:J12" si="1">SUM(D6-F6)</f>
        <v>#REF!</v>
      </c>
    </row>
    <row r="7" spans="1:10" ht="39.950000000000003" customHeight="1" x14ac:dyDescent="0.35">
      <c r="A7" s="113">
        <v>2</v>
      </c>
      <c r="B7" s="115" t="s">
        <v>162</v>
      </c>
      <c r="C7" s="114" t="e">
        <f>COUNTIF(#REF!,3)</f>
        <v>#REF!</v>
      </c>
      <c r="D7" s="117" t="e">
        <f>SUMIF(#REF!,3,#REF!)</f>
        <v>#REF!</v>
      </c>
      <c r="E7" s="114" t="e">
        <f>COUNTIFS(#REF!,3,#REF!,"&gt;0")</f>
        <v>#REF!</v>
      </c>
      <c r="F7" s="117" t="e">
        <f>SUMIFS(#REF!,#REF!,3,#REF!,"&gt;0")</f>
        <v>#REF!</v>
      </c>
      <c r="G7" s="121"/>
      <c r="H7" s="121"/>
      <c r="I7" s="114" t="e">
        <f t="shared" si="0"/>
        <v>#REF!</v>
      </c>
      <c r="J7" s="114" t="e">
        <f t="shared" si="1"/>
        <v>#REF!</v>
      </c>
    </row>
    <row r="8" spans="1:10" ht="39.950000000000003" customHeight="1" x14ac:dyDescent="0.35">
      <c r="A8" s="113">
        <v>3</v>
      </c>
      <c r="B8" s="115" t="s">
        <v>163</v>
      </c>
      <c r="C8" s="114" t="e">
        <f>COUNTIF(#REF!,4)</f>
        <v>#REF!</v>
      </c>
      <c r="D8" s="117" t="e">
        <f>SUMIF(#REF!,4,#REF!)</f>
        <v>#REF!</v>
      </c>
      <c r="E8" s="114" t="e">
        <f>COUNTIFS(#REF!,4,#REF!,"&gt;0")</f>
        <v>#REF!</v>
      </c>
      <c r="F8" s="117" t="e">
        <f>SUMIFS(#REF!,#REF!,4,#REF!,"&gt;0")</f>
        <v>#REF!</v>
      </c>
      <c r="G8" s="121"/>
      <c r="H8" s="121"/>
      <c r="I8" s="114" t="e">
        <f t="shared" si="0"/>
        <v>#REF!</v>
      </c>
      <c r="J8" s="114" t="e">
        <f t="shared" si="1"/>
        <v>#REF!</v>
      </c>
    </row>
    <row r="9" spans="1:10" ht="39.950000000000003" customHeight="1" x14ac:dyDescent="0.35">
      <c r="A9" s="113">
        <v>4</v>
      </c>
      <c r="B9" s="115" t="s">
        <v>164</v>
      </c>
      <c r="C9" s="114" t="e">
        <f>COUNTIF(#REF!,5)</f>
        <v>#REF!</v>
      </c>
      <c r="D9" s="117" t="e">
        <f>SUMIF(#REF!,5,#REF!)</f>
        <v>#REF!</v>
      </c>
      <c r="E9" s="114" t="e">
        <f>COUNTIFS(#REF!,5,#REF!,"&gt;0")</f>
        <v>#REF!</v>
      </c>
      <c r="F9" s="117" t="e">
        <f>SUMIFS(#REF!,#REF!,5,#REF!,"&gt;0")</f>
        <v>#REF!</v>
      </c>
      <c r="G9" s="121"/>
      <c r="H9" s="121"/>
      <c r="I9" s="114" t="e">
        <f t="shared" si="0"/>
        <v>#REF!</v>
      </c>
      <c r="J9" s="114" t="e">
        <f t="shared" si="1"/>
        <v>#REF!</v>
      </c>
    </row>
    <row r="10" spans="1:10" ht="39.950000000000003" customHeight="1" x14ac:dyDescent="0.35">
      <c r="A10" s="113">
        <v>5</v>
      </c>
      <c r="B10" s="115" t="s">
        <v>171</v>
      </c>
      <c r="C10" s="114" t="e">
        <f>COUNTIF(#REF!,6)</f>
        <v>#REF!</v>
      </c>
      <c r="D10" s="117" t="e">
        <f>SUMIF(#REF!,6,#REF!)</f>
        <v>#REF!</v>
      </c>
      <c r="E10" s="114" t="e">
        <f>COUNTIFS(#REF!,6,#REF!,"&gt;0")</f>
        <v>#REF!</v>
      </c>
      <c r="F10" s="117" t="e">
        <f>SUMIFS(#REF!,#REF!,6,#REF!,"&gt;0")</f>
        <v>#REF!</v>
      </c>
      <c r="G10" s="121"/>
      <c r="H10" s="121"/>
      <c r="I10" s="114" t="e">
        <f t="shared" si="0"/>
        <v>#REF!</v>
      </c>
      <c r="J10" s="114" t="e">
        <f t="shared" si="1"/>
        <v>#REF!</v>
      </c>
    </row>
    <row r="11" spans="1:10" ht="39.950000000000003" customHeight="1" x14ac:dyDescent="0.35">
      <c r="A11" s="113">
        <v>6</v>
      </c>
      <c r="B11" s="115" t="s">
        <v>165</v>
      </c>
      <c r="C11" s="114" t="e">
        <f>COUNTIF(#REF!,7)</f>
        <v>#REF!</v>
      </c>
      <c r="D11" s="117" t="e">
        <f>SUMIF(#REF!,7,#REF!)</f>
        <v>#REF!</v>
      </c>
      <c r="E11" s="114" t="e">
        <f>COUNTIFS(#REF!,7,#REF!,"&gt;0")</f>
        <v>#REF!</v>
      </c>
      <c r="F11" s="117" t="e">
        <f>SUMIFS(#REF!,#REF!,7,#REF!,"&gt;0")</f>
        <v>#REF!</v>
      </c>
      <c r="G11" s="121"/>
      <c r="H11" s="121"/>
      <c r="I11" s="114" t="e">
        <f t="shared" si="0"/>
        <v>#REF!</v>
      </c>
      <c r="J11" s="114" t="e">
        <f t="shared" si="1"/>
        <v>#REF!</v>
      </c>
    </row>
    <row r="12" spans="1:10" ht="39.950000000000003" customHeight="1" x14ac:dyDescent="0.35">
      <c r="A12" s="113">
        <v>7</v>
      </c>
      <c r="B12" s="115" t="s">
        <v>166</v>
      </c>
      <c r="C12" s="114" t="e">
        <f>COUNTIF(#REF!,8)</f>
        <v>#REF!</v>
      </c>
      <c r="D12" s="117" t="e">
        <f>SUMIF(#REF!,8,#REF!)</f>
        <v>#REF!</v>
      </c>
      <c r="E12" s="114" t="e">
        <f>COUNTIFS(#REF!,8,#REF!,"&gt;0")</f>
        <v>#REF!</v>
      </c>
      <c r="F12" s="117" t="e">
        <f>SUMIFS(#REF!,#REF!,8,#REF!,"&gt;0")</f>
        <v>#REF!</v>
      </c>
      <c r="G12" s="121"/>
      <c r="H12" s="121"/>
      <c r="I12" s="114" t="e">
        <f t="shared" si="0"/>
        <v>#REF!</v>
      </c>
      <c r="J12" s="114" t="e">
        <f t="shared" si="1"/>
        <v>#REF!</v>
      </c>
    </row>
    <row r="13" spans="1:10" ht="21" x14ac:dyDescent="0.2">
      <c r="B13" s="116" t="s">
        <v>33</v>
      </c>
      <c r="C13" s="97" t="e">
        <f>SUM(C4:C12)</f>
        <v>#REF!</v>
      </c>
      <c r="D13" s="97" t="e">
        <f t="shared" ref="D13:J13" si="2">SUM(D4:D12)</f>
        <v>#REF!</v>
      </c>
      <c r="E13" s="97" t="e">
        <f t="shared" si="2"/>
        <v>#REF!</v>
      </c>
      <c r="F13" s="97" t="e">
        <f t="shared" si="2"/>
        <v>#REF!</v>
      </c>
      <c r="G13" s="97">
        <f t="shared" si="2"/>
        <v>0</v>
      </c>
      <c r="H13" s="97">
        <f t="shared" si="2"/>
        <v>0</v>
      </c>
      <c r="I13" s="97" t="e">
        <f t="shared" si="2"/>
        <v>#REF!</v>
      </c>
      <c r="J13" s="97" t="e">
        <f t="shared" si="2"/>
        <v>#REF!</v>
      </c>
    </row>
  </sheetData>
  <mergeCells count="3">
    <mergeCell ref="C2:D2"/>
    <mergeCell ref="E2:F2"/>
    <mergeCell ref="I2:J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8"/>
  <sheetViews>
    <sheetView workbookViewId="0">
      <selection activeCell="G30" sqref="G30"/>
    </sheetView>
  </sheetViews>
  <sheetFormatPr defaultColWidth="9" defaultRowHeight="14.25" x14ac:dyDescent="0.2"/>
  <cols>
    <col min="1" max="1" width="9" style="97"/>
    <col min="2" max="2" width="11.875" style="86" customWidth="1"/>
    <col min="3" max="3" width="13" style="86" customWidth="1"/>
    <col min="4" max="4" width="14.5" style="89" customWidth="1"/>
    <col min="5" max="7" width="14.5" style="98" customWidth="1"/>
    <col min="8" max="8" width="14.5" style="89" customWidth="1"/>
    <col min="9" max="16384" width="9" style="97"/>
  </cols>
  <sheetData>
    <row r="1" spans="2:9" x14ac:dyDescent="0.2">
      <c r="B1" s="86" t="s">
        <v>76</v>
      </c>
    </row>
    <row r="2" spans="2:9" x14ac:dyDescent="0.2">
      <c r="E2" s="270" t="s">
        <v>4</v>
      </c>
      <c r="F2" s="270"/>
      <c r="G2" s="270"/>
    </row>
    <row r="3" spans="2:9" x14ac:dyDescent="0.2">
      <c r="B3" s="86" t="s">
        <v>34</v>
      </c>
      <c r="C3" s="86" t="s">
        <v>35</v>
      </c>
      <c r="D3" s="90" t="s">
        <v>29</v>
      </c>
      <c r="E3" s="96" t="s">
        <v>30</v>
      </c>
      <c r="F3" s="96" t="s">
        <v>31</v>
      </c>
      <c r="G3" s="96" t="s">
        <v>32</v>
      </c>
      <c r="H3" s="90" t="s">
        <v>33</v>
      </c>
    </row>
    <row r="4" spans="2:9" ht="20.25" customHeight="1" x14ac:dyDescent="0.2">
      <c r="B4" s="91">
        <v>1</v>
      </c>
      <c r="C4" s="91"/>
      <c r="D4" s="92"/>
      <c r="E4" s="92"/>
      <c r="F4" s="92"/>
      <c r="G4" s="92"/>
      <c r="H4" s="89">
        <f>E4+F4+G4</f>
        <v>0</v>
      </c>
      <c r="I4" s="97">
        <f>COUNTIF(H4:H25,"&gt;0")</f>
        <v>18</v>
      </c>
    </row>
    <row r="5" spans="2:9" ht="20.25" customHeight="1" x14ac:dyDescent="0.2">
      <c r="C5" s="86">
        <v>1.1000000000000001</v>
      </c>
      <c r="D5" s="89">
        <v>45500000</v>
      </c>
      <c r="E5" s="106">
        <v>45500000</v>
      </c>
      <c r="H5" s="89">
        <f t="shared" ref="H5:H24" si="0">E5+F5+G5</f>
        <v>45500000</v>
      </c>
    </row>
    <row r="6" spans="2:9" ht="20.25" customHeight="1" x14ac:dyDescent="0.2">
      <c r="C6" s="86">
        <v>1.2</v>
      </c>
      <c r="D6" s="89">
        <v>15000000</v>
      </c>
      <c r="E6" s="106">
        <v>15000000</v>
      </c>
      <c r="H6" s="89">
        <f t="shared" si="0"/>
        <v>15000000</v>
      </c>
    </row>
    <row r="7" spans="2:9" ht="20.25" customHeight="1" x14ac:dyDescent="0.2">
      <c r="B7" s="91">
        <v>2</v>
      </c>
      <c r="C7" s="91"/>
      <c r="D7" s="92">
        <v>40000000</v>
      </c>
      <c r="E7" s="106">
        <v>40000000</v>
      </c>
      <c r="F7" s="92"/>
      <c r="G7" s="92"/>
      <c r="H7" s="89">
        <f t="shared" si="0"/>
        <v>40000000</v>
      </c>
    </row>
    <row r="8" spans="2:9" ht="20.25" customHeight="1" x14ac:dyDescent="0.2">
      <c r="B8" s="91">
        <v>3</v>
      </c>
      <c r="C8" s="91"/>
      <c r="D8" s="92"/>
      <c r="E8" s="92"/>
      <c r="F8" s="92"/>
      <c r="G8" s="92"/>
      <c r="H8" s="89">
        <f t="shared" si="0"/>
        <v>0</v>
      </c>
    </row>
    <row r="9" spans="2:9" ht="20.25" customHeight="1" x14ac:dyDescent="0.2">
      <c r="B9" s="104"/>
      <c r="C9" s="104">
        <v>3.1</v>
      </c>
      <c r="D9" s="89">
        <v>50000000</v>
      </c>
      <c r="E9" s="106">
        <v>50000000</v>
      </c>
      <c r="F9" s="105"/>
      <c r="G9" s="105"/>
      <c r="H9" s="89">
        <f t="shared" si="0"/>
        <v>50000000</v>
      </c>
    </row>
    <row r="10" spans="2:9" ht="20.25" customHeight="1" x14ac:dyDescent="0.2">
      <c r="B10" s="104"/>
      <c r="C10" s="104">
        <v>3.2</v>
      </c>
      <c r="D10" s="89">
        <v>50000000</v>
      </c>
      <c r="E10" s="105"/>
      <c r="F10" s="105"/>
      <c r="G10" s="106">
        <v>50000000</v>
      </c>
      <c r="H10" s="89">
        <f t="shared" si="0"/>
        <v>50000000</v>
      </c>
    </row>
    <row r="11" spans="2:9" ht="20.25" customHeight="1" x14ac:dyDescent="0.2">
      <c r="B11" s="104"/>
      <c r="C11" s="104">
        <v>3.3</v>
      </c>
      <c r="D11" s="89">
        <v>50000000</v>
      </c>
      <c r="E11" s="105"/>
      <c r="F11" s="105"/>
      <c r="G11" s="106">
        <v>50000000</v>
      </c>
      <c r="H11" s="89">
        <f t="shared" si="0"/>
        <v>50000000</v>
      </c>
    </row>
    <row r="12" spans="2:9" ht="20.25" customHeight="1" x14ac:dyDescent="0.2">
      <c r="B12" s="91">
        <v>4</v>
      </c>
      <c r="C12" s="91"/>
      <c r="D12" s="92">
        <v>3500000</v>
      </c>
      <c r="E12" s="106">
        <v>3500000</v>
      </c>
      <c r="F12" s="92"/>
      <c r="G12" s="92"/>
      <c r="H12" s="89">
        <f t="shared" si="0"/>
        <v>3500000</v>
      </c>
    </row>
    <row r="13" spans="2:9" ht="20.25" customHeight="1" x14ac:dyDescent="0.2">
      <c r="B13" s="91">
        <v>5</v>
      </c>
      <c r="C13" s="91"/>
      <c r="D13" s="92">
        <v>55000000</v>
      </c>
      <c r="E13" s="106">
        <v>55000000</v>
      </c>
      <c r="F13" s="92"/>
      <c r="G13" s="92"/>
      <c r="H13" s="89">
        <f t="shared" si="0"/>
        <v>55000000</v>
      </c>
    </row>
    <row r="14" spans="2:9" ht="20.25" customHeight="1" x14ac:dyDescent="0.2">
      <c r="B14" s="91">
        <v>6</v>
      </c>
      <c r="C14" s="91"/>
      <c r="D14" s="92">
        <v>47588000</v>
      </c>
      <c r="E14" s="92"/>
      <c r="F14" s="92"/>
      <c r="G14" s="106">
        <v>47588000</v>
      </c>
      <c r="H14" s="89">
        <f t="shared" si="0"/>
        <v>47588000</v>
      </c>
    </row>
    <row r="15" spans="2:9" ht="20.25" customHeight="1" x14ac:dyDescent="0.2">
      <c r="B15" s="91">
        <v>7</v>
      </c>
      <c r="C15" s="91"/>
      <c r="D15" s="92">
        <v>30000000</v>
      </c>
      <c r="E15" s="106">
        <v>30000000</v>
      </c>
      <c r="F15" s="92"/>
      <c r="G15" s="92"/>
      <c r="H15" s="89">
        <f t="shared" si="0"/>
        <v>30000000</v>
      </c>
    </row>
    <row r="16" spans="2:9" ht="20.25" customHeight="1" x14ac:dyDescent="0.2">
      <c r="B16" s="91">
        <v>8</v>
      </c>
      <c r="C16" s="91"/>
      <c r="D16" s="94">
        <v>1000000</v>
      </c>
      <c r="E16" s="92"/>
      <c r="F16" s="92"/>
      <c r="G16" s="106">
        <v>1000000</v>
      </c>
      <c r="H16" s="89">
        <f t="shared" si="0"/>
        <v>1000000</v>
      </c>
    </row>
    <row r="17" spans="2:8" ht="20.25" customHeight="1" x14ac:dyDescent="0.2">
      <c r="B17" s="91">
        <v>9</v>
      </c>
      <c r="C17" s="91"/>
      <c r="D17" s="95">
        <v>1660000</v>
      </c>
      <c r="E17" s="92"/>
      <c r="F17" s="92"/>
      <c r="G17" s="106">
        <v>1660000</v>
      </c>
      <c r="H17" s="89">
        <f t="shared" si="0"/>
        <v>1660000</v>
      </c>
    </row>
    <row r="18" spans="2:8" ht="20.25" customHeight="1" x14ac:dyDescent="0.2">
      <c r="B18" s="91">
        <v>10</v>
      </c>
      <c r="C18" s="91"/>
      <c r="D18" s="94">
        <v>2600000</v>
      </c>
      <c r="E18" s="92"/>
      <c r="F18" s="92"/>
      <c r="G18" s="106">
        <v>2600000</v>
      </c>
      <c r="H18" s="89">
        <f t="shared" si="0"/>
        <v>2600000</v>
      </c>
    </row>
    <row r="19" spans="2:8" ht="20.25" customHeight="1" x14ac:dyDescent="0.2">
      <c r="B19" s="91">
        <v>11</v>
      </c>
      <c r="C19" s="91"/>
      <c r="D19" s="92"/>
      <c r="E19" s="92"/>
      <c r="F19" s="92"/>
      <c r="G19" s="92"/>
      <c r="H19" s="89">
        <f t="shared" si="0"/>
        <v>0</v>
      </c>
    </row>
    <row r="20" spans="2:8" ht="20.25" customHeight="1" x14ac:dyDescent="0.2">
      <c r="C20" s="86">
        <v>11.1</v>
      </c>
      <c r="D20" s="89">
        <v>10793000</v>
      </c>
      <c r="G20" s="106">
        <v>10793000</v>
      </c>
      <c r="H20" s="89">
        <f t="shared" si="0"/>
        <v>10793000</v>
      </c>
    </row>
    <row r="21" spans="2:8" ht="20.25" customHeight="1" x14ac:dyDescent="0.2">
      <c r="C21" s="86">
        <v>11.2</v>
      </c>
      <c r="D21" s="89">
        <v>51760000</v>
      </c>
      <c r="G21" s="106">
        <v>51760000</v>
      </c>
      <c r="H21" s="89">
        <f t="shared" si="0"/>
        <v>51760000</v>
      </c>
    </row>
    <row r="22" spans="2:8" ht="20.25" customHeight="1" x14ac:dyDescent="0.2">
      <c r="B22" s="91">
        <v>12</v>
      </c>
      <c r="C22" s="91"/>
      <c r="D22" s="92"/>
      <c r="E22" s="92"/>
      <c r="F22" s="92"/>
      <c r="G22" s="92"/>
      <c r="H22" s="89">
        <f t="shared" si="0"/>
        <v>0</v>
      </c>
    </row>
    <row r="23" spans="2:8" ht="20.25" customHeight="1" x14ac:dyDescent="0.2">
      <c r="C23" s="86">
        <v>12.1</v>
      </c>
      <c r="D23" s="89">
        <v>820000</v>
      </c>
      <c r="G23" s="106">
        <v>820000</v>
      </c>
      <c r="H23" s="89">
        <f t="shared" si="0"/>
        <v>820000</v>
      </c>
    </row>
    <row r="24" spans="2:8" ht="20.25" customHeight="1" x14ac:dyDescent="0.2">
      <c r="C24" s="86">
        <v>12.2</v>
      </c>
      <c r="D24" s="89">
        <v>450000</v>
      </c>
      <c r="G24" s="106">
        <v>450000</v>
      </c>
      <c r="H24" s="89">
        <f t="shared" si="0"/>
        <v>450000</v>
      </c>
    </row>
    <row r="25" spans="2:8" ht="20.25" customHeight="1" x14ac:dyDescent="0.2">
      <c r="C25" s="86">
        <v>12.3</v>
      </c>
      <c r="D25" s="89">
        <v>450000</v>
      </c>
      <c r="G25" s="106">
        <v>450000</v>
      </c>
      <c r="H25" s="89">
        <f>E25+F25+G25</f>
        <v>450000</v>
      </c>
    </row>
    <row r="26" spans="2:8" ht="28.5" customHeight="1" x14ac:dyDescent="0.2">
      <c r="C26" s="86" t="s">
        <v>33</v>
      </c>
      <c r="D26" s="89">
        <f>SUM(D4:D25)</f>
        <v>456121000</v>
      </c>
      <c r="E26" s="89">
        <f>SUM(E4:E25)</f>
        <v>239000000</v>
      </c>
      <c r="F26" s="89">
        <f>SUM(F4:F25)</f>
        <v>0</v>
      </c>
      <c r="G26" s="89">
        <f>SUM(G4:G25)</f>
        <v>217121000</v>
      </c>
      <c r="H26" s="89">
        <f>E26+F26+G26</f>
        <v>456121000</v>
      </c>
    </row>
    <row r="27" spans="2:8" ht="28.5" customHeight="1" x14ac:dyDescent="0.2">
      <c r="E27" s="98" t="s">
        <v>75</v>
      </c>
    </row>
    <row r="28" spans="2:8" x14ac:dyDescent="0.2">
      <c r="C28" s="86" t="s">
        <v>37</v>
      </c>
      <c r="D28" s="89">
        <v>319503600</v>
      </c>
      <c r="E28" s="98">
        <f>D28-E26</f>
        <v>80503600</v>
      </c>
    </row>
  </sheetData>
  <mergeCells count="1">
    <mergeCell ref="E2:G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D11"/>
  <sheetViews>
    <sheetView workbookViewId="0">
      <selection activeCell="D12" sqref="D12"/>
    </sheetView>
  </sheetViews>
  <sheetFormatPr defaultRowHeight="21" x14ac:dyDescent="0.35"/>
  <cols>
    <col min="3" max="3" width="9" style="76"/>
    <col min="4" max="4" width="59.875" style="76" customWidth="1"/>
  </cols>
  <sheetData>
    <row r="2" spans="3:4" x14ac:dyDescent="0.2">
      <c r="C2" s="101">
        <v>1</v>
      </c>
      <c r="D2" s="100" t="s">
        <v>71</v>
      </c>
    </row>
    <row r="3" spans="3:4" ht="63" x14ac:dyDescent="0.2">
      <c r="C3" s="99">
        <v>2</v>
      </c>
      <c r="D3" s="100" t="s">
        <v>89</v>
      </c>
    </row>
    <row r="4" spans="3:4" x14ac:dyDescent="0.2">
      <c r="C4" s="99"/>
      <c r="D4" s="99"/>
    </row>
    <row r="5" spans="3:4" x14ac:dyDescent="0.2">
      <c r="C5" s="99"/>
      <c r="D5" s="99"/>
    </row>
    <row r="6" spans="3:4" x14ac:dyDescent="0.2">
      <c r="C6" s="99"/>
      <c r="D6" s="99"/>
    </row>
    <row r="7" spans="3:4" x14ac:dyDescent="0.2">
      <c r="C7" s="99"/>
      <c r="D7" s="99"/>
    </row>
    <row r="8" spans="3:4" x14ac:dyDescent="0.2">
      <c r="C8" s="99"/>
      <c r="D8" s="99"/>
    </row>
    <row r="9" spans="3:4" x14ac:dyDescent="0.2">
      <c r="C9" s="99"/>
      <c r="D9" s="99"/>
    </row>
    <row r="10" spans="3:4" x14ac:dyDescent="0.2">
      <c r="C10" s="99"/>
      <c r="D10" s="99"/>
    </row>
    <row r="11" spans="3:4" x14ac:dyDescent="0.2">
      <c r="C11" s="99"/>
      <c r="D11" s="9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8</vt:i4>
      </vt:variant>
      <vt:variant>
        <vt:lpstr>ช่วงที่มีชื่อ</vt:lpstr>
      </vt:variant>
      <vt:variant>
        <vt:i4>3</vt:i4>
      </vt:variant>
    </vt:vector>
  </HeadingPairs>
  <TitlesOfParts>
    <vt:vector size="11" baseType="lpstr">
      <vt:lpstr>สรุปรวม 2 ส่วน</vt:lpstr>
      <vt:lpstr>แยกประเภท</vt:lpstr>
      <vt:lpstr>แยกประเภทส่วน 1</vt:lpstr>
      <vt:lpstr>ผลการพิจารณา ก.บ.ภ.</vt:lpstr>
      <vt:lpstr>Checking_section 1</vt:lpstr>
      <vt:lpstr>แยกประเภทส่วน 2</vt:lpstr>
      <vt:lpstr>Checking_section 2</vt:lpstr>
      <vt:lpstr>Comments</vt:lpstr>
      <vt:lpstr>'ผลการพิจารณา ก.บ.ภ.'!Print_Area</vt:lpstr>
      <vt:lpstr>'สรุปรวม 2 ส่วน'!Print_Area</vt:lpstr>
      <vt:lpstr>'ผลการพิจารณา ก.บ.ภ.'!Print_Titles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2022-05-24T02:40:06Z</cp:lastPrinted>
  <dcterms:created xsi:type="dcterms:W3CDTF">2014-06-03T01:25:18Z</dcterms:created>
  <dcterms:modified xsi:type="dcterms:W3CDTF">2022-05-24T02:42:05Z</dcterms:modified>
</cp:coreProperties>
</file>